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08" firstSheet="1" activeTab="1"/>
  </bookViews>
  <sheets>
    <sheet name="估算清单" sheetId="16" state="hidden" r:id="rId1"/>
    <sheet name="项目设备采购清单及分项报价表" sheetId="32" r:id="rId2"/>
    <sheet name="高山、高建筑站点" sheetId="4" state="hidden" r:id="rId3"/>
    <sheet name="350兆800兆基站正负表" sheetId="3" state="hidden" r:id="rId4"/>
    <sheet name="基站UPS核算" sheetId="26" state="hidden" r:id="rId5"/>
    <sheet name="800兆现状" sheetId="17" state="hidden" r:id="rId6"/>
    <sheet name="Sheet1" sheetId="31" state="hidden" r:id="rId7"/>
    <sheet name="爱尔兰及电费计算" sheetId="7" state="hidden" r:id="rId8"/>
    <sheet name="全省PDT建设情况" sheetId="18" state="hidden" r:id="rId9"/>
    <sheet name="基站工程量" sheetId="15" state="hidden" r:id="rId10"/>
    <sheet name="绩效" sheetId="21" state="hidden" r:id="rId11"/>
    <sheet name="测试" sheetId="22" state="hidden" r:id="rId12"/>
    <sheet name="名词解释" sheetId="27" state="hidden" r:id="rId13"/>
    <sheet name="风险点" sheetId="30" state="hidden" r:id="rId14"/>
  </sheets>
  <definedNames>
    <definedName name="_xlnm._FilterDatabase" localSheetId="0" hidden="1">估算清单!$A$1:$I$106</definedName>
    <definedName name="_xlnm._FilterDatabase" localSheetId="1" hidden="1">项目设备采购清单及分项报价表!$A$1:$G$93</definedName>
    <definedName name="_xlnm._FilterDatabase" localSheetId="3" hidden="1">'350兆800兆基站正负表'!$A$1:$G$89</definedName>
    <definedName name="_xlnm._FilterDatabase" localSheetId="4" hidden="1">基站UPS核算!$A$1:$P$81</definedName>
    <definedName name="_xlnm._FilterDatabase" localSheetId="11" hidden="1">#REF!</definedName>
    <definedName name="_xlnm._FilterDatabase" localSheetId="9" hidden="1">基站工程量!$A$1:$N$64</definedName>
    <definedName name="_xlnm.Print_Area" localSheetId="3">'350兆800兆基站正负表'!$A$1:$G$89</definedName>
    <definedName name="_xlnm.Print_Area" localSheetId="5">'800兆现状'!$A$1:$H$80</definedName>
    <definedName name="_xlnm.Print_Area" localSheetId="1">项目设备采购清单及分项报价表!$A$1:$G$90</definedName>
    <definedName name="_xlnm.Print_Area" localSheetId="2">高山、高建筑站点!$A$1:$J$28</definedName>
    <definedName name="_xlnm.Print_Area" localSheetId="0">估算清单!$A$1:$I$103</definedName>
    <definedName name="_xlnm.Print_Area" localSheetId="4">基站UPS核算!$A$1:$K$81</definedName>
    <definedName name="_xlnm.Print_Titles" localSheetId="1">项目设备采购清单及分项报价表!$1:$2</definedName>
    <definedName name="_xlnm.Print_Titles" localSheetId="0">估算清单!$1:$2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<sst xmlns="http://schemas.openxmlformats.org/spreadsheetml/2006/main" count="2245" uniqueCount="1199">
  <si>
    <t>中山市公安局警用数字集群（PDT)通信系统扩容项目--估算清单</t>
  </si>
  <si>
    <t>项目</t>
  </si>
  <si>
    <t>设备名称</t>
  </si>
  <si>
    <t>参考品牌</t>
  </si>
  <si>
    <t>描述</t>
  </si>
  <si>
    <t>单位</t>
  </si>
  <si>
    <t>数量</t>
  </si>
  <si>
    <t>单价
（万元）</t>
  </si>
  <si>
    <t>总价
（万元）</t>
  </si>
  <si>
    <t>备注</t>
  </si>
  <si>
    <t>价格参考依据说明</t>
  </si>
  <si>
    <t>PDT系统交换中心及安全设备</t>
  </si>
  <si>
    <t>小计1</t>
  </si>
  <si>
    <t>1-1</t>
  </si>
  <si>
    <t>PDT系统交换中心建设</t>
  </si>
  <si>
    <t>1-1-1</t>
  </si>
  <si>
    <t>交换控制中心服务器</t>
  </si>
  <si>
    <t>华为、中科曙光、新华三</t>
  </si>
  <si>
    <t>配置16核 2.5GHZ主频国产处理器×2颗/128G DDR4内存/1.2TB 2.5in 10K SAS硬盘×4块/2GB缓存 RAID卡/超级电容/800W电源模块×2块/4个千兆RJ45网络接口。</t>
  </si>
  <si>
    <t>台</t>
  </si>
  <si>
    <t>主备中心各2台</t>
  </si>
  <si>
    <t>1-1-2</t>
  </si>
  <si>
    <t>交换控制中心系统</t>
  </si>
  <si>
    <t>东方通信、海能达、海格、维德</t>
  </si>
  <si>
    <t>PDT系统交换中心配套，核心交换控制系统软件
提供呼叫控制和处理功能、基站接入管理、节点互联、资源管理、VLR服务、移动性管理、分组业务处理、短数据业务处理、补充业务处理、网管、认证与授权等功能。
满足警用数字集群（PDT）通信系统技术规范相关指标要求。</t>
  </si>
  <si>
    <t>套</t>
  </si>
  <si>
    <t>主交换中心信创适配或升级，备份交换中心新增；</t>
  </si>
  <si>
    <t>1-1-3</t>
  </si>
  <si>
    <t>网管系统服务器</t>
  </si>
  <si>
    <t>主备中心各1台</t>
  </si>
  <si>
    <t>1-1-4</t>
  </si>
  <si>
    <t>网管系统</t>
  </si>
  <si>
    <t>PDT系统交换中心配套，网管系统软件
提供配置管理、用户管理、故障管理、安全管理、辅助管理、升级管理、性能管理以及网络拓扑管理等操作维护功能，支持所有网元的远程管理、 维护和软件升级，使系统能正常、持续、稳定地运行。
满足警用数字集群（PDT）通信系统技术规范相关指标要求。</t>
  </si>
  <si>
    <t>1-1-5</t>
  </si>
  <si>
    <t>对讲机空口配置功能</t>
  </si>
  <si>
    <t>空口配置是指系统通过无线方式对移动终端的参数进行远程配置/查询。系统可以将用户配置参数通过空中接口传递给移动终端。移动终端进行在线编程，将参数存储到本机的非易失性存储器中。</t>
  </si>
  <si>
    <t>1-1-6</t>
  </si>
  <si>
    <t>录音系统服务器</t>
  </si>
  <si>
    <t>1-1-7</t>
  </si>
  <si>
    <t>录音系统</t>
  </si>
  <si>
    <t>提供全网录音、保存和回放等功能；
录音并发数不低于600路，录音文件存储时间不小于12个月。
满足警用数字集群（PDT）通信系统技术规范相关指标要求。</t>
  </si>
  <si>
    <t>1-1-8</t>
  </si>
  <si>
    <t>GIS调度系统服务器</t>
  </si>
  <si>
    <t>1-1-9</t>
  </si>
  <si>
    <t>GIS调度系统</t>
  </si>
  <si>
    <t>PDT系统交换中心配套，GIS调度系统软件
包含定位数据解析服务系统软件和WEB GIS调度应用系统软件。
基于GIS地理位置调度系统，实现对人和车辆的实时定位与指挥，具有丰富的调度业务，支持位置显示、用户状态、点击呼叫、框选呼叫等功能；
支持北斗定位，支持多种方式上报信息，包括距离变化、时间变化等。
支持在地图上实时查看终端电量实时信息和历史耗电量统计信息、支持在地图上实时查看终端场强实时信息和历史信息。
满足警用数字集群（PDT）通信系统技术规范相关指标要求。</t>
  </si>
  <si>
    <t>1-1-10</t>
  </si>
  <si>
    <t>媒体网关</t>
  </si>
  <si>
    <t>机架式服务器，符合国家安全可靠测评要求的CPU、操作系统；
配置16核 2.5GHZ主频处理器×2颗/128G DDR4内存/1.2TB 2.5in 10K SAS硬盘×4块/2GB缓存 RAID卡/超级电容/800W电源模块×2块/4个千兆RJ45网络接口。
PDT系统交换中心配套，媒体网关系统软件,实现PDT系统间互联互通
包含媒体网关软件和信令网关软件。
系统基于全IP软交换技术，互联控制信令使用pSIP协议，语音传输使用RTP协议。
满足警用数字集群（PDT）通信系统技术规范相关指标要求。</t>
  </si>
  <si>
    <t>1-1-11</t>
  </si>
  <si>
    <t>省厅调度系统服务器</t>
  </si>
  <si>
    <t>主交换中心</t>
  </si>
  <si>
    <t>1-1-12</t>
  </si>
  <si>
    <t>省厅录音系统服务器</t>
  </si>
  <si>
    <t>1-1-13</t>
  </si>
  <si>
    <t>NTP时钟服务器</t>
  </si>
  <si>
    <t>高精度时间服务器，1U设备，支持接收外部北斗、PTP、IRIG-B码的同步秒脉冲信号和时间编码信息，作为综合时统设备的同步源，具备IRIG-B（AC）码输出、NTP 网络授时等对外授时方式。
PPS输出授时精度≤20ns（RMS），IRIG-B(DC) 时码精度≤1us；
PTP同步精度≤±50ns，NTP同步精度：微妙级；</t>
  </si>
  <si>
    <t>1-1-15</t>
  </si>
  <si>
    <t>API服务器</t>
  </si>
  <si>
    <t>主交换中心信创适配或升级</t>
  </si>
  <si>
    <t>1-1-16</t>
  </si>
  <si>
    <t>核心交换机</t>
  </si>
  <si>
    <t>华为、新华三、锐捷</t>
  </si>
  <si>
    <t>交换容量≥672Gbps/6.72Tbps，包转发率≥171Mpps；
28个10/100/1000Base-T自适应以太网接口(含4个SFP Combo口)，8个万兆SFP+接口；
包含2个风扇模块，2个电源模块，包含光模块</t>
  </si>
  <si>
    <t>1-1-17</t>
  </si>
  <si>
    <t>核心路由器</t>
  </si>
  <si>
    <t>包含路由器机框、冗余主控业务板、冗余电源、冗余风扇等；
整机交换容量≥80Tbps、包转发率≥12000Mpps；
10GE(SFP+)端口≥4个，GE(SFP)端口≥10个，GE(RJ45)端口≥10个</t>
  </si>
  <si>
    <t>1-2</t>
  </si>
  <si>
    <t>PDT鉴权加密系统</t>
  </si>
  <si>
    <t>1-2-1</t>
  </si>
  <si>
    <t>PDT鉴权中心</t>
  </si>
  <si>
    <t>公安部一所、东方通信、海能达、海格、维德</t>
  </si>
  <si>
    <t>包含鉴权中心硬件及软件
配合PDT系统实现双向鉴权功能、序列号同步功能、安全的遥晕/遥毙/复活功能
使用国家密码管理局认可的商用密码算法，使用专用的安全硬件模块生成、存储和使用鉴权主密钥可管理1个NP（区号）下的32200个用户，提供不小于100条/秒的鉴权吞吐量</t>
  </si>
  <si>
    <t>参照“包头市公安局警用数字集群（PDT）鉴权加密系统建设项目”鉴权中心采购价31.2万元；https://www.ccgp.gov.cn/cggg/dfgg/zbgg/202209/t20220901_18575428.htm
参照“大兴安岭地区行政公署公安局地区公安局警用数字集群鉴权加密系统项目”鉴权中心采购价36.8万元；https://www.ccgp.gov.cn/cggg/dfgg/zbgg/202212/t20221222_19277515.htm
参照“白银市公安局350兆警用数字集群鉴权加密系统建设项目”鉴权系统采购价42.5万元；http://www.ccgp.gov.cn/cggg/dfgg/zbgg/202212/t20221228_19315642.htm
参照“广东省公安厅2023-102警用数字集群（PDT）区域应急无线指挥调度系统项目”鉴权服务器采购价27万元；https://www.ccgp.gov.cn/cggg/dfgg/zbgg/202312/t20231207_21229592.htm</t>
  </si>
  <si>
    <t>1-2-2</t>
  </si>
  <si>
    <t>PDT密钥管理中心</t>
  </si>
  <si>
    <t>包含密钥管理中心硬件及软件
保证不同的通话组使用不同的端到端加密通信密钥具备端到端加密通信密钥更新能力，并保证密钥更新过程中终端的加密呼叫能力
系统中通话组成员关系变化时，具备端到端加密通信密钥更新能力
可管理1个NP（区号）下的32200个用户
可管理不少于1000个加密通话组</t>
  </si>
  <si>
    <t>主中心配置</t>
  </si>
  <si>
    <t>参照“包头市公安局警用数字集群（PDT）鉴权加密系统建设项目”密钥管理中心采购价31.2万元；https://www.ccgp.gov.cn/cggg/dfgg/zbgg/202209/t20220901_18575428.htm
参照“大兴安岭地区行政公署公安局地区公安局警用数字集群鉴权加密系统项目”密钥管理中心采购价36.8万元；https://www.ccgp.gov.cn/cggg/dfgg/zbgg/202212/t20221222_19277515.htm
参照“白银市公安局350兆警用数字集群鉴权加密系统建设项目”密钥管理系统采购价42.5万元；http://www.ccgp.gov.cn/cggg/dfgg/zbgg/202212/t20221228_19315642.htm；
参照“广东省公安厅2023-102警用数字集群（PDT）区域应急无线指挥调度系统项目”加密服务器系统采购价27万元；https://www.ccgp.gov.cn/cggg/dfgg/zbgg/202312/t20231207_21229592.htm</t>
  </si>
  <si>
    <t>1-2-3</t>
  </si>
  <si>
    <t>PDT端到端加密机</t>
  </si>
  <si>
    <t>机架式设备，配合调度台服务器或媒体格式转换网关实现语音数据的实时加解密功能
支持多路并发语音的端到端加解密处理
支持端到端加密密钥的导入功能
使用国家密码管理局认可的商用密码算法，使用专用的安全硬件模块生成、存储和使用端到端加密主密钥
可支持不少于1000个加密通话组
可支持不少于30路并发的加解密业务</t>
  </si>
  <si>
    <t>参照“白银市公安局350兆警用数字集群鉴权加密系统建设项目”端到端加密机采购价32.7万元；https://www.ccgp.gov.cn/cggg/dfgg/zbgg/202212/t20221228_19315642.htm</t>
  </si>
  <si>
    <t>1-3</t>
  </si>
  <si>
    <t>PDT等保安全加固系统</t>
  </si>
  <si>
    <t>1-3-1</t>
  </si>
  <si>
    <t>PDT第二代防火墙</t>
  </si>
  <si>
    <t>公安部三所、公安部一所、网御星云、杭州合众</t>
  </si>
  <si>
    <t>硬件参数：网络接口：≥6个千兆电口（包含2对Bypass口），≥2个万兆光口；国产化CPU、国产化操作系统。
性能参数：网络层吞吐量≥10Gbps，应用层吞吐量≥4Gbps，防病毒吞吐量≥1Gbps，IPS吞吐量≥1Gbps，并发连接数≥400万，新建连接数≥10万。
PDT专用功能：支持对PDT专有协议的高效传输，满足协议的低时延传输要求。
功能要求：
（1）工作模式：支持路由模式、透明模式、虚拟网线模式、旁路镜像模式等多种部署方式，满足PDT专网多种网络架构要求。
（2）链路状态监测：产品支持链路连通性检查功能，探测协议至少包括DNS解析、ARP探测、PING和BFD等方式。
（3）路由支持：支持静态路由、策略路由和多播路由协议，并支持BGP、RIP、OSPF等动态路由协议，满足PDT专网组网要求。
（4）访问控制策略：产品支持基于网络区域、网络对象、MAC地址、服务、应用等维度进行访问控制策略设置，满足PDT标准规范对网络防护的相关要求。
（5）病毒防御：支持对HTTP、FTP、SMB、HTTPS等协议进行病毒防御。
（6）入侵攻击防御：产品支持基于IMAP、FTP、RDP、VNC、SSH、TELNET、ORACLE、MYSQL、MSSQL等应用协议进行深度检测与防护。
（7）资产识别：可识别PDT专网内混合资产，获取IP、MAC、操作系统、类型、厂商等信息，识别进入专网的异常设备。终端类型包括但不限于PC、服务器。</t>
  </si>
  <si>
    <t>省厅，主备交换中心接入</t>
  </si>
  <si>
    <t xml:space="preserve">参照“淮安市公安局PDT安全硬件采购”防火墙采购价13.3万元；https://www.ccgp.gov.cn/cggg/dfgg/zbgg/202502/t20250208_24140904.htm
</t>
  </si>
  <si>
    <t>1-3-2</t>
  </si>
  <si>
    <t>PDT主机安全加固系统</t>
  </si>
  <si>
    <t>硬件参数：硬件参数：网络接口：≥4个千兆电口；内存≥16GB*2，硬盘≥600GB*2，国产化CPU，国产化操作系统。
性能参数：可管理服务器≥100个，终端≥100个。
PDT专用功能：支持对PDT专网内业务服务器及PC的安全防护，能与重要业务服务器兼容，不影响业务的稳定运行。
功能参数：
（1）部署环境：单一管理中心可统一管理分别部署在Windows系统PC、国产化系统PC、Windows系统服务器、Linux系统服务器以及国产化系统服务器的客户端软件。
（2）智能调整：通过智能识别终端环境情况和当前终端资源占用，在闲时实时监控和病毒扫描场景，智能调整客户端的资源占用（CPU、IO等），为业务让出资源，不卡业务，对业务零影响。 
（3）Linux远程保护：支持Linux服务器SSH远程登录保护，可开启SSH远程登录二次认证，以防止黑客利用弱密码脆弱性对服务器的入侵；支持设置验证码验证或自定义密码验证，支持设置登录认证提示、生效时间段和免二次认证白名单。
（4）windows远程保护：支持windows服务器RDP远程登录保护，可开启RDP远程登录二次认证，以防止黑客对服务器的入侵。
（5）勒索防护：提供勒索病毒整体防护体系入口，直观展示最近七天勒索病毒防护效果，包括已处置的勒索病毒数量、已阻止的勒索病毒行为次数、已阻止的未知进程操作次数、已阻止的暴力破解攻击次数。
（6）勒索检测：支持勒索可疑行为检测，通过行为AI能力对勒索信、命令行、修改文件等多种躲避式投放勒索病毒的高危高频场景进行精准告警和自动拦截。
（7）漏洞防护：支持流行Windows高危漏洞的轻补丁免疫防御，支持Windows补丁批量一键修复，支持对Linux终端扫描系统漏洞、提供漏洞分析详情和修复建议。</t>
  </si>
  <si>
    <t xml:space="preserve">参照“哈尔滨市公安局350兆通信系统扩容与对讲机购置项目”计算机终端安全设备采购价13.2万元；https://www.ccgp.gov.cn/cggg/dfgg/zbgg/202412/t20241209_23821048.htm
</t>
  </si>
  <si>
    <t>1-3-3</t>
  </si>
  <si>
    <t>PDT安全风险探测系统</t>
  </si>
  <si>
    <t>硬件参数：网络接口：≥4千兆电口，≥4个千兆光口，≥2个万兆光口,≥1个扩展槽；国产化CPU、国产化操作系统。
性能参数：扫描IP授权数：1000，Web漏扫授权URL数：200，主机漏扫最大并发IP数：450，WEB漏扫最大并发URL数：15。
PDT专用功能：支持与部级漏扫设备的级联和数据上报。
功能参数：
（1）风险统计：支持全局风险统计功能，通过扇形图、条状图、标签、表格等形式直观展示资产风险分布、漏洞风险等级分布、紧急漏洞、风险资产清单等信息。
（2）合规自检：按照等保2.0的检测项要求，统计PDT系统存在的不符合、部分符合、符合、待确认、不适用检测项，直观了解PDT业务系统合规情况。
（3）风险概览：支持从漏洞视角分类型呈现风险概览和详情信息，支持在线查看展示“系统漏洞”、“WEB漏洞”、“弱口令”和“基线风险”的名称、风险等级、漏洞数、最近发现时间，并可关联漏洞详情。漏洞详情可支持展示漏洞名称、漏洞类型、发现时间、影响资产、漏洞描述、漏洞影响、修复建议、CVE编号、CNNVD编号和举证信息。
（4）任务派发：支持全面扫描 、资产发现、系统漏洞扫描、弱口令扫描、WEB漏洞扫描、基线配置核查六种任务类型，其中全面扫描支持系统漏洞扫描、WEB漏洞扫描、弱口令扫描同时执行。
（5）漏洞扫描：系统漏洞扫描支持高级配置功能，可支持存活性探测配置、端口扫描策略配置、UDP扫描启用、低可信度漏洞扫描、web应用扫描启用等配置功能。</t>
  </si>
  <si>
    <t xml:space="preserve">参照“哈尔滨市公安局350兆通信系统扩容与对讲机购置项目”入侵检测设备采购价10.2万元；https://www.ccgp.gov.cn/cggg/dfgg/zbgg/202412/t20241209_23821048.htm
</t>
  </si>
  <si>
    <t>1-3-4</t>
  </si>
  <si>
    <t>PDT数据库监控系统</t>
  </si>
  <si>
    <t>硬件参数： 网络接口：≥6个千兆电口，≥1个扩展槽；硬盘≥4T；国产化CPU、国产化操作系统。
性能参数： 最大硬件吞吐量≥2Gbps，最大纯数据库流量≥400Mbps，数据库实例个数≥30个，SQL处理性能≥30000条SQL/s，日志检索性能≥400000条/秒。
PDT专用功能：支持审计PDT专网业务服务器中数据库访问行为。
功能参数：
（1）数据库支持：支持PDT系统业务服务器的主流数据库包括Oracle、SQL-Server、DB2、MySQL、Informix、Sybase、Postgresql、Cache、达梦、人大金仓、MongDB、K-DB、虚谷。支持时间段、源IP、客户端程序、业务系统、数据库用户、数据库名、操作类型、表名、返回行数、影响行数、响应时长、响应码等对数据库日志进行精细检索。
（2）会话审计：深度解码数据库网络传输协议，完整记录用户数据库会话细节，包括发生时间、源IP、源端口、源MAC、目的IP、目的端口、数据库用户、数据库类型、操作类型、SQL语句、SQL模版、客户端程序名、响应码、影响行数、返回行数、SQL预计响应时间。
（3）统计功能：支持吞吐量分析，包括SQL语句吞吐量排行、SQL语句吞吐量趋势、SQL操作类型吞吐量排行、SQL操作类型吞吐量趋势、数据库用户吞吐量排行、数据库用户吞吐量趋势、业务主机吞吐量排行、业务主机吞吐量趋势。
（4）查询能力：支持指定源IP、时间日期、客户端程序、业务系统、数据库用户、操作类型等精细日志查询、支持操作类型精细化日志查询、支持风险级别排行统计查询、支持数据库条件的统计查询、支持统计趋势查询分析、支持风险级别查询分析、支持通过多SQL语句的统计查询、支持统计分析下钻、支持业务系统元素统计查询。
（5）审计能力：支持以时间、源IP、客户端程序、业务系统、数据库用户、数据库名、操作类型、表名、返回行数、影响行数、响应时长、响应码、策略、规则、风险级别、SQL模版为条件的数据库风险查询。
（6）安全规则：内置大量SQL安全规则，包括如下 ：导出方式窃取、备份方式窃取、导出可执行程序、备份方式写入恶意代码、系统命令执行、读注册表、写注册表、暴露系统信息、高权存储过程、执行本地代码、常见运维工具使用grant、业务系统使用grant、客户端sp_addrolemember提权、web端sp_addrolemember提权、查询内置敏感表、篡改内置敏感表等。</t>
  </si>
  <si>
    <t xml:space="preserve">参照“哈尔滨市公安局350兆通信系统扩容与对讲机购置项目”安全审计设备采购价11.1万元；https://www.ccgp.gov.cn/cggg/dfgg/zbgg/202412/t20241209_23821048.htm
</t>
  </si>
  <si>
    <t>1-3-5</t>
  </si>
  <si>
    <t>PDT日志综合分析系统</t>
  </si>
  <si>
    <t>硬件参数： 网络接口：≥6个千兆电口，≥2个万兆光口；硬盘≥128G+4T SATA；国产化CPU、国产化操作系统。
性能参数：主机审计数量≥100，平均每秒处理日志数（eps）最大性能≥2500。
PDT专用功能：支持对PDT专网内设备日志的存储、审计等，保证与业务系统的兼容性和稳定性。
功能参数：
（1）日志采集：支持 Deepin(深之度)Linux、Harmony(鸿蒙) OS、Ubuntu Kylin(优麒麟)、UnionTech(统信)等国产化操作系统日志接入。
（2）日志采集：支持通过正则、分隔符、json、xml的可视方式进行自定义规则解析，支持对解析结果字段的新增、合并、映射，以满足除内置解析规则之外未被覆盖的日志类型的解析。
（3）日志检索：支持通配符、范围搜索、字段等多种输入方式、搜索框模糊搜索、指定语段进行语法搜索；可根据时间、严重等级等进行组合查询；可根据具体设备、来源/目的所属（可具体到外网、内网资产等）、IP地址、特征ID、URL进行具体条件搜索；支持可设置定时刷新频率，根据刷新时间显示实时接入日志事件。
（4）日志分析：支持网站攻击、漏洞利用、C&amp;C通信、暴力破解、拒绝服务、主机脆弱性、主机异常、恶意软件、账号异常、权限异常、侦查探测等内置关联分析规则，支持自定义关联分析规则。</t>
  </si>
  <si>
    <t>参照“哈尔滨市公安局350兆通信系统扩容与对讲机购置项目”安全审计设备采购价11万元；https://www.ccgp.gov.cn/cggg/dfgg/zbgg/202412/t20241209_23821048.htm</t>
  </si>
  <si>
    <t>1-3-6</t>
  </si>
  <si>
    <t>PDT漏洞攻击识别系统</t>
  </si>
  <si>
    <t>硬件参数：网络接口：≥6个千兆电口（包含2对Bypass口），≥2个万兆光口；国产化CPU、国产化操作系统。
性能参数：网络层吞吐量≥10G，应用层吞吐量（IPS）≥1G。
PDT专用功能：能识别PDT专网中常见威胁风险。
功能要求：
（1）部署模式：通过镜像流量方式对PDT专网内网络攻击流量进行检测与告警。
（2）内容安全检测：支持URL过滤和文件过滤功能，URL过滤支持GET，POST请求过滤和HTTPS网站过滤，文件过滤支持文件上传和下载过滤。
（3）入侵检测：设备具备独立的入侵防护漏洞规则特征库；支持对服务器和客户端的漏洞攻击防护，支持XSS攻击、SQL注入等WEB攻击行为进行有效防护。支持对常见应用服务（FTP、SSH、 RDP、Rlogin、SMB、Telnet、Weblogic、VNC）和数据库软件（MySQL、Oracle、MSSQL）的口令暴力破解防护功能；支持间谍软件、后门、蠕虫等恶意软件防护。
（4）僵尸主机：设备具备独立的热门威胁库，支持木马、勒索软件、蠕虫、挖矿病毒等种类。支持木马远控类、恶意链接类、移动安全类、异常流量类僵尸网络行为的检测。
（5）安全可视化：支持对PDT专网设备的自动发现以及资产脆弱性和服务器开放端口的自动识别，支持包含对PDT重要敏感数据业务的识别；支持在同一个界面对全网所有PDT业务服务器的安全状况进行风险评估。</t>
  </si>
  <si>
    <r>
      <rPr>
        <sz val="10"/>
        <color rgb="FF000000"/>
        <rFont val="宋体"/>
        <charset val="134"/>
      </rPr>
      <t>参照“哈尔滨市公安局350兆通信系统扩容与对讲机购置项目”漏洞扫描设备</t>
    </r>
    <r>
      <rPr>
        <sz val="10"/>
        <color rgb="FF000000"/>
        <rFont val="Arial"/>
        <charset val="134"/>
      </rPr>
      <t xml:space="preserve">	</t>
    </r>
    <r>
      <rPr>
        <sz val="10"/>
        <color rgb="FF000000"/>
        <rFont val="宋体"/>
        <charset val="134"/>
      </rPr>
      <t>采购价10.2万元；https://www.ccgp.gov.cn/cggg/dfgg/zbgg/202412/t20241209_23821048.htm</t>
    </r>
  </si>
  <si>
    <t>1-3-7</t>
  </si>
  <si>
    <t>接入交换机</t>
  </si>
  <si>
    <t>24个10/100/1000BASE-T端口，4个GE SFP端口；
包含2个风扇模块，1个电源模块</t>
  </si>
  <si>
    <t>主中心2台</t>
  </si>
  <si>
    <t>1-4</t>
  </si>
  <si>
    <t>PDT专网与公安信息网边界</t>
  </si>
  <si>
    <t>1-4-1</t>
  </si>
  <si>
    <t>防火墙</t>
  </si>
  <si>
    <t>公安部三所、智臣、天行网安</t>
  </si>
  <si>
    <t>硬件参数：采用国产CPU，≥ 6个千兆网口、≥6个万兆光口（含4个万兆多模模块）；
性能参数：网络层吞吐量≥ 10G；含入侵防御模块；</t>
  </si>
  <si>
    <t>参照“佛山市城市“畅通工程”配套项目——佛山公安信息网边界安全接入平台”漏洞扫描设备采购价14.42万元；https://www.ccgp.gov.cn/cggg/dfgg/zbgg/202206/t20220620_18108655.htm</t>
  </si>
  <si>
    <t>1-4-2</t>
  </si>
  <si>
    <t>入侵检测系统</t>
  </si>
  <si>
    <t>硬件参数：采用国产CPU，≥ 2个千兆电口、≥ 2个万兆光口（含2个万兆多模模块）；
性能参数：网络层吞吐量≥ 10G；</t>
  </si>
  <si>
    <t>参照“西安铁路公安局公安信息网边界接入平台扩容项目”入侵检测采购价8.26万元；https://www.ccgp.gov.cn/cggg/zygg/zbgg/202310/t20231025_20946396.htm</t>
  </si>
  <si>
    <t>1-4-3</t>
  </si>
  <si>
    <t>语音安全传输系统前置机</t>
  </si>
  <si>
    <r>
      <rPr>
        <sz val="10"/>
        <rFont val="宋体"/>
        <charset val="134"/>
      </rPr>
      <t>硬件参数：采用国产CPU，冗余电源；网络接口配置≥4个千兆电口；
功能要求：支持视频数据的双向传输；支持语音（PSIP）数据的双向传输；支持定位数据的单向上传；支持短信数据的双向传输；支持网管数据的双向代理访问；支持用户名/口令方式的访问控制：支持添加、删除信任IP及限定访问IP的功能；支持操作员、审计员、管理员的三权分立 支持设备运行状态的检测及系统资源的监控；支持对用户日志、告警日志和服务日志的审计。
性能要求：</t>
    </r>
    <r>
      <rPr>
        <sz val="10"/>
        <rFont val="宋体"/>
        <charset val="134"/>
        <scheme val="minor"/>
      </rPr>
      <t>语音链路：</t>
    </r>
    <r>
      <rPr>
        <sz val="10"/>
        <color theme="1"/>
        <rFont val="宋体"/>
        <charset val="134"/>
        <scheme val="minor"/>
      </rPr>
      <t>并发数不低于200路；定位数据：并发数不低于1000条；</t>
    </r>
    <r>
      <rPr>
        <sz val="10"/>
        <rFont val="宋体"/>
        <charset val="134"/>
        <scheme val="minor"/>
      </rPr>
      <t>传输时延≤5ms；传输抖动≤2ms；丢包率≤0.1％；</t>
    </r>
  </si>
  <si>
    <t>参照“西安铁路公安局公安信息网边界接入平台扩容项目”导入前置机采购价23万元；https://www.ccgp.gov.cn/cggg/zygg/zbgg/202310/t20231025_20946396.htm</t>
  </si>
  <si>
    <t>1-4-4</t>
  </si>
  <si>
    <t>网络数据交换隔离设备</t>
  </si>
  <si>
    <t>硬件参数：采用国产CPU，双冗余电源；
内网接口：标配≥2个10/100/1000M Base-TX网络接口、1个10/100/1000M Base-TX管理接口、1个10/100/1000M  Base-TX HA接口（双机热备口）；
外网接口：标配≥2个10/100/1000M Base-TX网络接口、1个10/100/1000M Base-TX管理接口、1个10/100/1000M  Base-TX HA接口（双机热备口）；
功能要求：支持HTTP/HTTPS访问，支持HTTP协议的内部命令控制；内置SSL模块从https协议中分离出正常的加密数据流，屏蔽自由门和翻墙软件；支持FTP文件传输协议，支持主动被动两种模式；支持文件变动实时同步、指定时间间隔同步、可移动设备触发同步、计算机空闲时间同步等多种智能同步方式。同步出错能够自动重传并设置重传次数，出现异常同步状况告警并记录日志；提供对多种主流数据库，如：MYSQL、SQLSERVER、ORACLE、DB2、SYBASE等系统的安全访问，支持SQL语句白名单控制；
性能要求：整机网络层吞吐量≥500Mbps；并发连接数≥6万。</t>
  </si>
  <si>
    <t>参照“西安铁路公安局公安信息网边界接入平台扩容项目”安全数据交换系统采购价26.7万元；https://www.ccgp.gov.cn/cggg/zygg/zbgg/202310/t20231025_20946396.htm</t>
  </si>
  <si>
    <t>1-4-5</t>
  </si>
  <si>
    <t>语音安全传输系统后置机</t>
  </si>
  <si>
    <t>硬件参数：采用国产CPU，冗余电源；网络接口配置≥4个千兆电口；
功能要求：支持视频数据的双向传输；支持语音（PSIP）数据的双向传输；支持定位数据的单向上传；支持短信数据的双向传输；支持网管数据的双向代理访问；支持用户名/口令方式的访问控制：支持添加、删除信任IP及限定访问IP的功能；支持操作员、审计员、管理员的三权分立 支持设备运行状态的检测及系统资源的监控；支持对用户日志、告警日志和服务日志的审计。
性能要求：语音链路：并发数不低于200路；定位数据：并发数不低于1000条；传输时延≤5ms；传输抖动≤2ms；丢包率≤0.1％；</t>
  </si>
  <si>
    <t>参照“西安铁路公安局公安信息网边界接入平台扩容项目”导入服务器采购价23万元；https://www.ccgp.gov.cn/cggg/zygg/zbgg/202310/t20231025_20946396.htm</t>
  </si>
  <si>
    <t>1-4-6</t>
  </si>
  <si>
    <t>集中监控与审计系统探针子系统</t>
  </si>
  <si>
    <t>硬件参数：2U机箱，采用国产CPU，≥6个千兆网口
功能参数：支持多种设备状态信息的采集（被管设备需支持SNMP协议）；支持移动警务链路应用流量信息的探测；支持SYSLOG、SNMP2.0/3.0协议（被管设备需支持SNMP协议）
性能参数：每秒可接收日志条数不小于200条。</t>
  </si>
  <si>
    <t>参照“西安铁路公安局公安信息网边界接入平台扩容项目”集控探针采购价3.8万元；https://www.ccgp.gov.cn/cggg/zygg/zbgg/202310/t20231025_20946396.htm
参照“佛山市城市“畅通工程”配套项目——佛山公安信息网边界安全接入平台”漏洞扫描设备采购价4.82万元；</t>
  </si>
  <si>
    <t>1-4-7</t>
  </si>
  <si>
    <t>集中监控与审计级联监控子系统</t>
  </si>
  <si>
    <t>硬件参数：采用国产CPU，网口配置≥6个千兆网口；
功能参数：支持不同接入对象（链路、应用、设备）的信息注册和管理，完全符合部级规范；；支持对多种设备进行监控，并提供统计分析报表；支持对各种接入应用的运行情况进行监控，能够提供统计分析报表；支持平台异常告警与处理，目前实现了设备异常、流量异常和用户访问异常的策略告警，通过页面告警实现；动态、实时展示平台链路和设备情况；支持SNMPV2.0/3.0（被管设备需支持SNMP协议）、SYSLOG协议采集信息；支持边界部级级联上报；支持对下级平台进行集中审计和分析。
性能参数：最大日志存储量500GB；每秒可接收日志条数不小于200条。</t>
  </si>
  <si>
    <t>参照“佛山市城市“畅通工程”配套项目——佛山公安信息网边界安全接入平台”漏洞扫描设备采购价9.78万元；https://www.ccgp.gov.cn/cggg/dfgg/zbgg/202206/t20220620_18108655.htm</t>
  </si>
  <si>
    <t>1-4-8</t>
  </si>
  <si>
    <t>三层交换机</t>
  </si>
  <si>
    <t>≥6个10/100/1000Base-TX口，≥6个万兆SFP+口，含6个万兆多模模块</t>
  </si>
  <si>
    <r>
      <rPr>
        <sz val="10"/>
        <color rgb="FF000000"/>
        <rFont val="宋体"/>
        <charset val="134"/>
      </rPr>
      <t>参照“佛山市城市“畅通工程”配套项目——佛山公安信息网边界安全接入平台”三层交换机</t>
    </r>
    <r>
      <rPr>
        <sz val="10"/>
        <color rgb="FF000000"/>
        <rFont val="Arial"/>
        <charset val="134"/>
      </rPr>
      <t xml:space="preserve">	</t>
    </r>
    <r>
      <rPr>
        <sz val="10"/>
        <color rgb="FF000000"/>
        <rFont val="宋体"/>
        <charset val="134"/>
      </rPr>
      <t>设备采购价2.38万元；https://www.ccgp.gov.cn/cggg/dfgg/zbgg/202206/t20220620_18108655.htm</t>
    </r>
  </si>
  <si>
    <t>350兆基站建设及扩容载波</t>
  </si>
  <si>
    <t>小计2</t>
  </si>
  <si>
    <t>2-1</t>
  </si>
  <si>
    <t>基站主设备</t>
  </si>
  <si>
    <t>2-1-1</t>
  </si>
  <si>
    <t>4载波基站</t>
  </si>
  <si>
    <t>用户提供话音、数据业务；实行管理频点、主控信道、辅助控制信道、业务信道等无线资源，确保系统稳定可靠运行；当和交换中心之间的传输链路中断时，进入单站集群模式。此时基站仍然支持下列集群调度服务：注册和组加入、组呼、紧急呼叫、排队优先权、新近用户优先、迟后加入、通话方识别、短数据收发等功能。
含基站控制器及软件、多载波信道机及软件、双工器、机柜及天馈线设备。
(1)工作频段：351MHz～366MHz
(2)多址方式：TDMA
(3)空中接口：符合PDT空口标准
(4)信道间隔：12.5kHz
(5)收发间隔：10MHz
(6)调制方式：4FSK
(7)工作温度：-30℃～+60℃
(8)储存温度：-25℃～+75℃
(9)相对湿度：93%R.H
(10)最大输出功率：≤47dBm
(11)4FSK调制频偏误差：≤10.0%
(12)4FSK发射误码率：≤1×10-4</t>
  </si>
  <si>
    <t>参照“连江县公安局350M集群基站采购项目”4载波基站采购价49万元；
参照“2023年乌鲁木齐市属单位无线通信设备采购项目”4载波基站采购价58.8万元；
参照“上海市公安局长宁分局警用数字集群（PDT）系统建设服务采购公开招标项目”4载波基站45万元</t>
  </si>
  <si>
    <t>2-1-2</t>
  </si>
  <si>
    <t>6载波基站</t>
  </si>
  <si>
    <t>2-1-3</t>
  </si>
  <si>
    <t>12载波基站</t>
  </si>
  <si>
    <t>8载波主机，4载波扩展柜</t>
  </si>
  <si>
    <t>参照“2023年乌鲁木齐市属单位无线通信设备采购项目”8载波基站117.4万元；4载波便携基站采购价58.8万元；
参照“哈尔滨市公安局350M通信基站及4G5G宏热点站点扩容项目”8载波基站68.39万元，扩容
参照“上海市公安局长宁分局警用数字集群（PDT）系统建设服务采购公开招标项目”8载波基站85万元</t>
  </si>
  <si>
    <t>2-1-4</t>
  </si>
  <si>
    <t>4载波便携式基站</t>
  </si>
  <si>
    <t>参照“2023年乌鲁木齐市属单位无线通信设备采购项目”4载波便携基站采购价58.8万元；</t>
  </si>
  <si>
    <t>2-1-5</t>
  </si>
  <si>
    <t>升级载波</t>
  </si>
  <si>
    <t>载波</t>
  </si>
  <si>
    <t>综合多个项目调研平均单载波造价约为8万元，本项目综合考虑按6.5万元评估</t>
  </si>
  <si>
    <t>2-2</t>
  </si>
  <si>
    <t>基站配套设施</t>
  </si>
  <si>
    <t>2-2-1</t>
  </si>
  <si>
    <t>UPS后备电源系统</t>
  </si>
  <si>
    <t>3KWA主机+6块12V免维护铅酸蓄电池+电池柜</t>
  </si>
  <si>
    <t>参照“智慧回传听力考试及训练红外放音系统建设项目”智能电源管理系统（3KVA）采购价1.238万元；https://www.ccgp.gov.cn/cggg/dfgg/zbgg/202406/t20240604_22285909.htm</t>
  </si>
  <si>
    <t>2-2-2</t>
  </si>
  <si>
    <t>一体化机柜配套</t>
  </si>
  <si>
    <t>定制</t>
  </si>
  <si>
    <t>镀锌钢板材料、厚度 1.5/2.0mm；恒温空调：1500W，含地排、32A空开*4、2.4KVAUPS设备（含电池），吊装简易自动灭火器、RVV3*4mm²，外套PVC市电引入；≥IP65；</t>
  </si>
  <si>
    <t>参照“侯马市公安局交通警察大队智慧交通项目”一体化机柜采购价1.9万元；https://www.ccgp.gov.cn/cggg/dfgg/zbgg/202412/t20241218_23905843.htm
参照“洪洞县集中式饮水水源地规划建设项目设备”一体化机柜(含机箱空调)采购价1.83万元（本项目综合考虑加UPS费用0.8万按2.5万元评估）；https://www.ccgp.gov.cn/cggg/dfgg/zbgg/202408/t20240805_22809478.htm</t>
  </si>
  <si>
    <t>2-3</t>
  </si>
  <si>
    <t>基站天馈系统</t>
  </si>
  <si>
    <t>2-3-1</t>
  </si>
  <si>
    <t>全向天线</t>
  </si>
  <si>
    <t>351MHz～366MHz全向收发天线，含抱杆及支架</t>
  </si>
  <si>
    <t>参照“鄂尔多斯市公安局内蒙古自治区第十五届运动会暨第六届残运会安保执勤设备采购”350兆通信系统核心网及调度系统扩容（玻璃钢天线）采购价0.35万元；https://www.ccgp.gov.cn/cggg/dfgg/zbgg/202306/t20230606_20021795.htm</t>
  </si>
  <si>
    <t>2-3-2</t>
  </si>
  <si>
    <t>定向天线</t>
  </si>
  <si>
    <t>351MHz～366MHz板状收发天线，含抱杆及支架</t>
  </si>
  <si>
    <t>参照“内蒙古自治区阿拉善盟草原高火险区（贺兰山项目区）视频监控系统及防火通信和信息指挥系统建设项目”双极化定向天线采购价0.6万元；https://www.ccgp.gov.cn/cggg/dfgg/zbgg/202205/t20220530_17989082.htm
参照“广东省公安厅2023-102警用数字集群（PDT）区域应急无线指挥调度系统项目”PDT专项优化-部分高架基站天线定向化改造采购价0.15万元加高速公路隧道覆盖-天线抱杆采购价0.1万元，本项目综合考虑按0.2万元；https://www.ccgp.gov.cn/cggg/dfgg/zbgg/202312/t20231207_21229592.htm</t>
  </si>
  <si>
    <t>2-3-3</t>
  </si>
  <si>
    <t>天馈系统配套</t>
  </si>
  <si>
    <t>室外馈线接地件、7/8"馈线、1/2"馈线、功分器、合路器、PVC管道、安装施工及安全产生费用等</t>
  </si>
  <si>
    <t>项</t>
  </si>
  <si>
    <t>参照“广东省公安厅2023-102警用数字集群（PDT）区域应急无线指挥调度系统项目”天馈合分路总成采购价1.4万；https://www.ccgp.gov.cn/cggg/dfgg/zbgg/202312/t20231207_21229592.htm
参照“西宁高山站升级改造”天馈系统-天馈系统配套设施采购价8万；https://www.ccgp.gov.cn/cggg/dfgg/zbgg/202411/t20241106_23549091.htm</t>
  </si>
  <si>
    <t>室分系统建设</t>
  </si>
  <si>
    <t>小计3</t>
  </si>
  <si>
    <t>3-1</t>
  </si>
  <si>
    <t>直放站设备</t>
  </si>
  <si>
    <t>3-1-1</t>
  </si>
  <si>
    <t>10WA主机</t>
  </si>
  <si>
    <t>百汇通、达锐通、永畅信联</t>
  </si>
  <si>
    <t>工作频段（MHz） 361~366（前向）  351~356（反向）
最大增益及误差 90±2dB（前向）  85±2dB（反向）
增益调节(ATT)范围 ≥30dB
频率误差 ≤±0.05ppm
最大允许输入电平 ≥-10dBm
带内波动 ≤3.0dB（峰峰值）
输入/输出电压驻波比 ≤1.5
噪声系数 ≤5dB
传输时延 ≤5μs
互调衰减 ≤-45dBc/100kHz
IP防护：≥IP65
工作环境温度 -25℃至+55℃
管理功能 输出功率、设备温度、告警参数、增益设置
监控接口 RJ-45或者RS-232</t>
  </si>
  <si>
    <t>参照“东莞市公安局350兆无线数字集群通信系统二期”无线直放站采购价13.8万元；https://www.ccgp.gov.cn/cggg/dfgg/zbgg/202212/t20221207_19171764.htm
参照“广东省公安厅2023-102警用数字集群（PDT）区域应急无线指挥调度系统项目”高速公路隧道覆盖-无线耦合光纤直放站远端机采购价2.5万加高速公路隧道覆盖-无线耦合光纤直放站近端机采购价2.5万元，合5万元；https://www.ccgp.gov.cn/cggg/dfgg/zbgg/202312/t20231207_21229592.htm</t>
  </si>
  <si>
    <t>3-1-2</t>
  </si>
  <si>
    <t>5WA主机</t>
  </si>
  <si>
    <t>参照“广东省公安厅2023-102警用数字集群（PDT）区域应急无线指挥调度系统项目”高速公路隧道覆盖-无线耦合光纤直放站远端机采购价2.5万加高速公路隧道覆盖-无线耦合光纤直放站近端机采购价1.6万元，合4.1万元；https://www.ccgp.gov.cn/cggg/dfgg/zbgg/202312/t20231207_21229592.htm</t>
  </si>
  <si>
    <t>3-2</t>
  </si>
  <si>
    <t>室内分布系统</t>
  </si>
  <si>
    <t>3-2-1</t>
  </si>
  <si>
    <t>隧道室分</t>
  </si>
  <si>
    <t>广珠西线高速、沿海高速沿线隧道室内分布系统；含馈线、天线、功分器、施工费等</t>
  </si>
  <si>
    <r>
      <rPr>
        <sz val="10"/>
        <color rgb="FF000000"/>
        <rFont val="宋体"/>
        <charset val="134"/>
      </rPr>
      <t>参照“广东省公安厅2023-102警用数字集群（PDT）区域应急无线指挥调度系统项目”高速公路隧道覆盖-机房及配套租用-隧道设备安装位置租用</t>
    </r>
    <r>
      <rPr>
        <sz val="10"/>
        <color rgb="FF000000"/>
        <rFont val="Arial"/>
        <charset val="134"/>
      </rPr>
      <t xml:space="preserve">	</t>
    </r>
    <r>
      <rPr>
        <sz val="10"/>
        <color rgb="FF000000"/>
        <rFont val="宋体"/>
        <charset val="134"/>
      </rPr>
      <t>采购价1.5万元；https://www.ccgp.gov.cn/cggg/dfgg/zbgg/202312/t20231207_21229592.htm</t>
    </r>
  </si>
  <si>
    <t>3-2-2</t>
  </si>
  <si>
    <t>重要场所室分</t>
  </si>
  <si>
    <t>中山市重要建筑室内室分系统（如孙中山纪念堂、利和希尔顿酒店、东区文化艺术中心*2、中山公安交警支队指挥中心、市政府人民接访大楼地下停车场、广珠城轨中山北站值班室、大涌红博城）；含馈线、天线、功分器、安装施工及安全产生费用等</t>
  </si>
  <si>
    <t>参照同类项目合同定价</t>
  </si>
  <si>
    <t>3-2-3</t>
  </si>
  <si>
    <t>各分局派出所室分</t>
  </si>
  <si>
    <t>中山市各分局、派出所等单位室内室分系统；含馈线、天线、功分器、安装施工及安全产生费用等</t>
  </si>
  <si>
    <t>终端及自组网设备</t>
  </si>
  <si>
    <t>小计4</t>
  </si>
  <si>
    <t>4-1</t>
  </si>
  <si>
    <t>终端</t>
  </si>
  <si>
    <t>4-1-1</t>
  </si>
  <si>
    <t>350兆手持台</t>
  </si>
  <si>
    <t>详见建设方案4.8.1章节；</t>
  </si>
  <si>
    <t>参照“广东省公安厅2023-102警用数字集群（PDT）区域应急无线指挥调度系统项目”PDT普通终端 （单模）采购价0.35万元；https://www.ccgp.gov.cn/cggg/dfgg/zbgg/202312/t20231207_21229592.htm
参照同类项目合同定价</t>
  </si>
  <si>
    <t>4-1-2</t>
  </si>
  <si>
    <t>车载台</t>
  </si>
  <si>
    <t>详见建设方案4.8.2章节；</t>
  </si>
  <si>
    <t>参照“广东省公安厅2023-102警用数字集群（PDT）区域应急无线指挥调度系统项目”终端-PDT车载台采购价0.5万元；https://www.ccgp.gov.cn/cggg/dfgg/zbgg/202312/t20231207_21229592.htm
参照同类项目合同定价</t>
  </si>
  <si>
    <t>4-1-3</t>
  </si>
  <si>
    <t>基地台</t>
  </si>
  <si>
    <t>详见建设方案4.8.3章节；</t>
  </si>
  <si>
    <t>参照“广东省公安厅2023-102警用数字集群（PDT）区域应急无线指挥调度系统项目”终端-PDT固定台采购价0.64万元；https://www.ccgp.gov.cn/cggg/dfgg/zbgg/202312/t20231207_21229592.htm
参照同类项目合同定价</t>
  </si>
  <si>
    <t>4-1-4</t>
  </si>
  <si>
    <t>挂耳式有线耳机</t>
  </si>
  <si>
    <t>可配套350兆手持台适配使用；</t>
  </si>
  <si>
    <t>参照“策勒县某单位设备采购项目（四次）中标(成交)结果公告”350兆对讲机耳机采购价0.022万元；https://www.ccgp.gov.cn/cggg/dfgg/zbgg/202412/t20241223_23932062.htm
参照“哈尔滨市公安局街面警务站信息化硬件建设结果公告”对讲机耳机采购价0.0177万元；https://www.ccgp.gov.cn/cggg/dfgg/zbgg/202307/t20230728_20388586.htm</t>
  </si>
  <si>
    <t>4-1-5</t>
  </si>
  <si>
    <t>蓝牙耳机</t>
  </si>
  <si>
    <t>参照“资阳市公安局高新技术产业园区分局警械设备及防护防暴装备采购中标（成交）结果公告”对讲机蓝牙耳机采购价0.118万元；https://www.ccgp.gov.cn/cggg/dfgg/zbgg/202308/t20230822_20552493.htm
参照同类项目合同定价</t>
  </si>
  <si>
    <t>4-1-6</t>
  </si>
  <si>
    <t>车辆改装费用</t>
  </si>
  <si>
    <t>车辆加装车载台，含车辆改装及修复费用；</t>
  </si>
  <si>
    <t>车辆</t>
  </si>
  <si>
    <t>4-1-7</t>
  </si>
  <si>
    <t>加密卡</t>
  </si>
  <si>
    <t>终端加密卡</t>
  </si>
  <si>
    <t>张</t>
  </si>
  <si>
    <t>参照“广东省公安厅2023-102警用数字集群（PDT）区域应急无线指挥调度系统项目”终端-PDT对讲机安全加密卡采购价0.036万元；https://www.ccgp.gov.cn/cggg/dfgg/zbgg/202312/t20231207_21229592.htm
参照同类项目合同定价</t>
  </si>
  <si>
    <t>4-2</t>
  </si>
  <si>
    <t>窄带自组网设备</t>
  </si>
  <si>
    <t>4-2-1</t>
  </si>
  <si>
    <t>自组网中转台</t>
  </si>
  <si>
    <t>工作频段:350M~400Mhz；功率：≤25w；整机重量：≤5kg；整机功耗：≤220W；跳数：≥5级4跳组网；外壳防护：≥IP67；工作模式：PDT自组网、中转台；回传链路：ETH/卫星/公网4G；维护接口：ETH</t>
  </si>
  <si>
    <t>参照“广东省公安厅2023-102警用数字集群（PDT）区域应急无线指挥调度系统项目”自组网-自组网便携基站采购价8万元；https://www.ccgp.gov.cn/cggg/dfgg/zbgg/202312/t20231207_21229592.htm</t>
  </si>
  <si>
    <t>4-3</t>
  </si>
  <si>
    <t>调度台</t>
  </si>
  <si>
    <t>4-3-1</t>
  </si>
  <si>
    <t>PDT调度台</t>
  </si>
  <si>
    <t>GIS调度台，含台式操作终端1台（含国产操作系统），扬声器和耳麦套件各1套，PDT：GIS调度台软件1套。</t>
  </si>
  <si>
    <t>国产信创电脑及软件</t>
  </si>
  <si>
    <t>参照“广东省公安厅2023-102警用数字集群（PDT）区域应急无线指挥调度系统项目”PDT调度台采购价3.15万元；https://www.ccgp.gov.cn/cggg/dfgg/zbgg/202312/t20231207_21229592.htm
参照“昆山市应急管理局关于“应急365”平台建设项目的中标公告”调度客户端软件采购价3.1万元；https://www.ccgp.gov.cn/cggg/dfgg/zbgg/202210/t20221021_18860231.htm</t>
  </si>
  <si>
    <t>4-3-2</t>
  </si>
  <si>
    <t>互联网关</t>
  </si>
  <si>
    <t>配置2颗ARM架构处理器,单颗CPU基准频率≥2.1Ghz，单颗CPU物理核数≥64/DDR432G内存*2/600G热插拔SAS硬盘(1万转)*2/raid5(1G缓存)/1300W电源模块*2/四口千兆网口,含麒麟操作系统。</t>
  </si>
  <si>
    <t>国产信创，用于350兆PDT系统在
公安网上实现PGIS,点击呼叫等功能</t>
  </si>
  <si>
    <t>参照“昆山市应急管理局关于“应急365”平台建设项目的中标公告”互联网关采购价11.6万元；https://www.ccgp.gov.cn/cggg/dfgg/zbgg/202210/t20221021_18860231.htm</t>
  </si>
  <si>
    <t>4-3-3</t>
  </si>
  <si>
    <t>互联网关软件</t>
  </si>
  <si>
    <t>含数字集群信令网关软件及数字集群媒体网关软件
1、实现不同系统间互联互通时的语音转换功能。
2、实现信令交互和媒体协商功能，支持的信令交互协议包括标准SIP协议、PSIP协议、ESIP协议、INIAP协议等。
3、接受来自交换中心的控制命令并为集群业务分配媒体面资源；
4、支持上下行集群业务数据的管理、路由和转发，具有从上一个节点接收到的集群数据转发给路由中下一个节点的功能；
5、支持上下行集群业务数据的能力适配和格式转换；
6、点到点和点到多点集群业务上行数据的终结点、下行数据的起始点；
7、支持多种语音类型的转换，包括NVOC、AMR、ALAW、ACELP；
8、支持20ms/30ms/60msPCMALAW不同负载时间帧的语音；、
9、支持不同系统RTP格式处理；
10、支持组播和单播RTP包互相转换。
11、支持64路转码NVOC语音编码、支持128路转码ACELP语音编码。</t>
  </si>
  <si>
    <t>4-4</t>
  </si>
  <si>
    <t>软载波授权</t>
  </si>
  <si>
    <t>4-4-1</t>
  </si>
  <si>
    <t>交换中心软载波授权</t>
  </si>
  <si>
    <t>交换中心软载波永久授权</t>
  </si>
  <si>
    <t>参照“杭州市消防救援支队关于杭州市桐庐县消防救援大队无线通信系统基站载波扩容项目的中标公告”扩容设备采购价13.45万元；https://www.ccgp.gov.cn/cggg/zygg/zbgg/202406/t20240619_22423251.htm</t>
  </si>
  <si>
    <t>杆塔及网络租赁费</t>
  </si>
  <si>
    <t>小计5</t>
  </si>
  <si>
    <t>5-1</t>
  </si>
  <si>
    <t>杆塔租赁</t>
  </si>
  <si>
    <t>5-1-1</t>
  </si>
  <si>
    <t>新铁塔站点</t>
  </si>
  <si>
    <t>铁塔/运营商</t>
  </si>
  <si>
    <t>运营商或铁塔公司基站租赁费用，含电费；（2万元/年）</t>
  </si>
  <si>
    <t>基站/3年</t>
  </si>
  <si>
    <t>参照《中国铁塔公司核心资源价格表》挂高≥20M，上塔重量15-50kg，迎风面积0.4-0.8平方米；机房≤6U空间；合计费用29700元/年；按7折评估后取整2万/年</t>
  </si>
  <si>
    <t>5-1-2</t>
  </si>
  <si>
    <t>现网800兆站点扩容350兆天线</t>
  </si>
  <si>
    <t>现网800兆站点扩容350兆天线，含电费；（0.35万元/年）</t>
  </si>
  <si>
    <t>按照4载波基站功耗1.2KW，冗余系数0.5，年度365天，0.65元/度电费评估(1.2*24*365*0.65)*0.5=3416.4；考虑其余天面及杆体改造费用取整按3500元/年评估</t>
  </si>
  <si>
    <t>5-2</t>
  </si>
  <si>
    <t>网络租赁费用</t>
  </si>
  <si>
    <t>5-2-1</t>
  </si>
  <si>
    <t>链路费用</t>
  </si>
  <si>
    <t>运营商</t>
  </si>
  <si>
    <t>10M OTN专线/3年，(27个现有站址，52个新增站点)主备中心传输各1条，300元/月</t>
  </si>
  <si>
    <t>10M/3年</t>
  </si>
  <si>
    <t>利旧27个站至主交换中心链路</t>
  </si>
  <si>
    <t>5-2-2</t>
  </si>
  <si>
    <t>100M OTN专线/3年，主备份中心间链路传输费用，1000元/月</t>
  </si>
  <si>
    <t>100M/3年</t>
  </si>
  <si>
    <t>5-3</t>
  </si>
  <si>
    <t>运营维护服务</t>
  </si>
  <si>
    <t>5-3-1</t>
  </si>
  <si>
    <t>7*24小时值班</t>
  </si>
  <si>
    <t>通信技术工程师，为提供7*24小时值守服务，采用三班倒班工作制度；每班配备1名现场值守人员，每天三班共3人，考虑节假日及轮班另需1人，共计需4人；
提供系统使用支持、咨询解答等日常技术支撑，以及会议、参观、事件处置等过程中的技术保障工作，协助其他服务中需要现场协调的工作。负责整体系统维护工作，制定系统维护工作计划，及时解决系统在日常使用中遇到的各种问题，协调硬件、软件及网络调优等的现场服务，安排按期巡检以及软件的升级，保障系统正常运行。</t>
  </si>
  <si>
    <t>人/3年</t>
  </si>
  <si>
    <t>参照《电子政务工程造价指导书（第三版）》P432,通信技术工程师（2-4年）平均值6502元/月*36</t>
  </si>
  <si>
    <t>5-3-2</t>
  </si>
  <si>
    <t>系统网优服务</t>
  </si>
  <si>
    <t>每年购买无线网优服务，服务内容包含仿真、路测、参数调优等并输出优化方案，暂按1000元/站·年估算费用</t>
  </si>
  <si>
    <t>项/年</t>
  </si>
  <si>
    <t>参照《珠海市公安局警用数字集群（PDT）通信系统项目可行性研究报告》可行性研究批复1000元/站评估；集合厂家报价单评估</t>
  </si>
  <si>
    <t>项目二类费用</t>
  </si>
  <si>
    <t>小计6</t>
  </si>
  <si>
    <t>6-1</t>
  </si>
  <si>
    <t>勘察设计费</t>
  </si>
  <si>
    <t>市政数局统一框架支出</t>
  </si>
  <si>
    <t>6-2</t>
  </si>
  <si>
    <t>监理服务费</t>
  </si>
  <si>
    <t>6-3</t>
  </si>
  <si>
    <t>等保测评费</t>
  </si>
  <si>
    <t>6-4</t>
  </si>
  <si>
    <t>密码方案编制费</t>
  </si>
  <si>
    <t>6-5</t>
  </si>
  <si>
    <t>密码测评费</t>
  </si>
  <si>
    <t>6-6</t>
  </si>
  <si>
    <t>辐射监测报告</t>
  </si>
  <si>
    <t>检测机构</t>
  </si>
  <si>
    <t>PDT固定基站建设或扩容完成后，出具GB 8702-2014《电磁环境控制限值》出具CMA或CNAS认证报告</t>
  </si>
  <si>
    <t>报告</t>
  </si>
  <si>
    <t>根据电磁检测公司及相关公司询价确认</t>
  </si>
  <si>
    <t>6-7</t>
  </si>
  <si>
    <t>通信覆盖测试</t>
  </si>
  <si>
    <t>PDT系统网络建成后，测试基站及主要道路无线电及信号覆盖情况和系统功能情况进行第三方检测（按照交换中心和室外基站建设取0.8%评估）</t>
  </si>
  <si>
    <t>第三方检测费用</t>
  </si>
  <si>
    <t>6-8</t>
  </si>
  <si>
    <t>基站功能检验测试</t>
  </si>
  <si>
    <t>PDT系统网络建成后，聘请第三方检测机构测试基站及主要道路无线电及信号覆盖情况和系统功能情况（按照交换中心和室外基站建设取1%评估）</t>
  </si>
  <si>
    <t>根据公安部一所及相关公司询价确认</t>
  </si>
  <si>
    <t>6-9</t>
  </si>
  <si>
    <t>基站压力测试</t>
  </si>
  <si>
    <r>
      <rPr>
        <sz val="10"/>
        <rFont val="宋体"/>
        <charset val="134"/>
      </rPr>
      <t>PDT</t>
    </r>
    <r>
      <rPr>
        <sz val="10"/>
        <color theme="1"/>
        <rFont val="宋体"/>
        <charset val="134"/>
      </rPr>
      <t>系统网络建成后，聘请第三方检测机构模拟各种极端条件对基站、交换中心、GPS、短信等进行压力测试（按照交换中心和室外基站建设取0.2%评估）</t>
    </r>
  </si>
  <si>
    <t>6-10</t>
  </si>
  <si>
    <t>漫游测试</t>
  </si>
  <si>
    <t>PDT系统网络建成后，聘请第三方检测机构验证PDT漫游及越区切换能力（按照交换中心和室外基站建设取0.1%评估）</t>
  </si>
  <si>
    <t>6-11</t>
  </si>
  <si>
    <t>边界测评</t>
  </si>
  <si>
    <t>第三方机构对边界安全性，合规性测评（按照等保第二级要求）出具报告。</t>
  </si>
  <si>
    <t>根据边界厂家报价及相关公司询价确认</t>
  </si>
  <si>
    <t>项目总投资</t>
  </si>
  <si>
    <t>上报金额</t>
  </si>
  <si>
    <t>中山市公安局警用数字集群（PDT)通信系统扩容项目-项目设备采购清单及分项报价表</t>
  </si>
  <si>
    <t>单价（元）</t>
  </si>
  <si>
    <t>总价（元）</t>
  </si>
  <si>
    <t>配置16核 2.5GHZ主频处理器×2颗/128G DDR4内存/1.2TB 2.5in 10K SAS硬盘×4块/2GB缓存 RAID卡/超级电容/800W电源模块×2块/4个千兆RJ45网络接口。</t>
  </si>
  <si>
    <t>具体要求详见招标文件第二章采购需求-（一）PDT系统交换控制中心采购需求-1.PDT系统交换控制中心</t>
  </si>
  <si>
    <t>具体要求详见招标文件第二章采购需求-（一）PDT系统交换控制中心采购需求-2.网管系统</t>
  </si>
  <si>
    <t>具体要求详见招标文件第二章采购需求-（一）PDT系统交换控制中心采购需求-3.录音系统</t>
  </si>
  <si>
    <t>具体要求详见招标文件第二章采购需求-（一）PDT系统交换控制中心采购需求-4.GIS调度系统</t>
  </si>
  <si>
    <t>PDT手持对讲机空口配置功能</t>
  </si>
  <si>
    <t>具体要求详见招标文件第二章采购需求-（一）PDT系统交换控制中心采购需求-5.PDT手持对讲机空口配置功能</t>
  </si>
  <si>
    <t>具体要求详见招标文件第二章采购需求-（一）PDT系统交换控制中心采购需求-6.媒体网关</t>
  </si>
  <si>
    <t>应急载波授权</t>
  </si>
  <si>
    <t>具体要求详见招标文件第二章采购需求-（一）PDT系统交换控制中心采购需求-7.应急载波授权</t>
  </si>
  <si>
    <t>1-1-14</t>
  </si>
  <si>
    <t>高精度时间服务器，支持接收外部北斗、PTP、IRIG-B码的同步秒脉冲信号和时间编码信息，作为综合时统设备的同步源，具备IRIG-B（AC）码输出、NTP 网络授时等对外授时方式。
PPS输出授时精度≤20ns（RMS），IRIG-B(DC) 时码精度≤1us；
PTP同步精度≤±50ns，NTP同步精度：微秒级；</t>
  </si>
  <si>
    <t>PDT防火墙</t>
  </si>
  <si>
    <t>具体要求详见招标文件第二章采购需求-（二）安全保障系统-3.PDT等保合规安全防护平台-（2）PDT等保安全加固系统设备要求-①PDT防火墙</t>
  </si>
  <si>
    <t>具体要求详见招标文件第二章采购需求-（二）安全保障系统-3.PDT等保合规安全防护平台-（2）PDT等保安全加固系统设备要求-②PDT主机安全加固系统</t>
  </si>
  <si>
    <t>具体要求详见招标文件第二章采购需求-（二）安全保障系统-3.PDT等保合规安全防护平台-（2）PDT等保安全加固系统设备要求-③PDT安全风险探测系统</t>
  </si>
  <si>
    <t>具体要求详见招标文件第二章采购需求-（二）安全保障系统-3.PDT等保合规安全防护平台-（2）PDT等保安全加固系统设备要求-④PDT数据库监控系统</t>
  </si>
  <si>
    <t>具体要求详见招标文件第二章采购需求-（二）安全保障系统-3.PDT等保合规安全防护平台-（2）PDT等保安全加固系统设备要求-⑤PDT日志综合分析系统</t>
  </si>
  <si>
    <t>具体要求详见招标文件第二章采购需求-（二）安全保障系统-3.PDT等保合规安全防护平台-（2）PDT等保安全加固系统设备要求-⑥PDT漏洞攻击识别系统</t>
  </si>
  <si>
    <t>PDT边界链路</t>
  </si>
  <si>
    <t>具体要求详见招标文件第二章采购需求-（二）安全保障系统-2.PDT边界链路-（3）PDT边界链路设备要求-①防火墙</t>
  </si>
  <si>
    <t>具体要求详见招标文件第二章采购需求-（二）安全保障系统-2.PDT边界链路-（3）PDT边界链路设备要求-②语音安全传输系统前置机</t>
  </si>
  <si>
    <t>网闸</t>
  </si>
  <si>
    <t>具体要求详见招标文件第二章采购需求-（二）安全保障系统-2.PDT边界链路-（3）PDT边界链路设备要求-③网闸</t>
  </si>
  <si>
    <t>具体要求详见招标文件第二章采购需求-（二）安全保障系统-2.PDT边界链路-（3）PDT边界链路设备要求-④语音安全传输系统后置机</t>
  </si>
  <si>
    <t>具体要求详见招标文件第二章采购需求-（二）安全保障系统-2.PDT边界链路-（3）PDT边界链路设备要求-⑤集中监控与审计系统探针子系统</t>
  </si>
  <si>
    <t>具体要求详见招标文件第二章采购需求-（二）安全保障系统-2.PDT边界链路-（3）PDT边界链路设备要求-⑥集中监控与审计级联监控子系统</t>
  </si>
  <si>
    <t>具体要求详见招标文件第二章采购需求-（二）安全保障系统-2.PDT边界链路-（3）PDT边界链路设备要求-⑦入侵检测系统</t>
  </si>
  <si>
    <t>交换机</t>
  </si>
  <si>
    <t>具体要求详见招标文件第二章采购需求-（二）安全保障系统-2.PDT边界链路-（3）PDT边界链路设备要求-⑧交换机</t>
  </si>
  <si>
    <t>4载波室内型基站</t>
  </si>
  <si>
    <t>具体要求详见招标文件第二章采购需求-（三）PDT无线网络覆盖需求-2.基站设备设施要求-（1）PDT系统基站设备性能要求-①4载波室内型基站</t>
  </si>
  <si>
    <t>4载波室外型基站</t>
  </si>
  <si>
    <t>具体要求详见招标文件第二章采购需求-（三）PDT无线网络覆盖需求-2.基站设备设施要求-（1）PDT系统基站设备性能要求-②4载波室外型基站</t>
  </si>
  <si>
    <t>6载波室内型基站</t>
  </si>
  <si>
    <t>具体要求详见招标文件第二章采购需求-（三）PDT无线网络覆盖需求-2.基站设备设施要求-（1）PDT系统基站设备性能要求-③6载波室内型基站</t>
  </si>
  <si>
    <t>12载波室内型基站</t>
  </si>
  <si>
    <t>具体要求详见招标文件第二章采购需求-（三）PDT无线网络覆盖需求-2.基站设备设施要求-（1）PDT系统基站设备性能要求-④12载波室内型基站</t>
  </si>
  <si>
    <t>具体要求详见招标文件第二章采购需求-（三）PDT无线网络覆盖需求-2.基站设备设施要求-（1）PDT系统基站设备性能要求-⑤4载波便携式基站</t>
  </si>
  <si>
    <t>2-1-6</t>
  </si>
  <si>
    <t>PDT基站升级载波</t>
  </si>
  <si>
    <t>具体要求详见招标文件第二章采购需求-（三）PDT无线网络覆盖需求-2.基站设备设施要求-（1）PDT系统基站设备性能要求-⑥PDT基站升级载波</t>
  </si>
  <si>
    <t>1、主机：≥3KWA
2、电池：≥6块12V100AH免维护铅酸蓄电池
3、电池柜</t>
  </si>
  <si>
    <t>具体要求详见招标文件第二章采购需求-（三）PDT无线网络覆盖需求-2.基站设备设施要求-（2）直放站设备性能要求-①10WA主机设备参数</t>
  </si>
  <si>
    <t>具体要求详见招标文件第二章采购需求-（三）PDT无线网络覆盖需求-2.基站设备设施要求-（2）直放站设备性能要求-②5WA主机设备参数</t>
  </si>
  <si>
    <t>室内分布天馈系统</t>
  </si>
  <si>
    <t>隧道天馈配套</t>
  </si>
  <si>
    <t>广珠西线高速、沿海高速沿线隧道室内分布系统；含馈线、天线、功分器、施工费等，不含主机。</t>
  </si>
  <si>
    <t>重要场所天馈配套</t>
  </si>
  <si>
    <t>中山市重要建筑室内室分系统（如孙中山纪念堂、利和希尔顿酒店、东区文化艺术中心*2、中山公安交警支队指挥中心、市政府人民接访大楼地下停车场、广珠城轨中山北站值班室、大涌红博城）；含馈线、天线、功分器、安装施工及安全产生费用等，不含主机。</t>
  </si>
  <si>
    <t>各分局派出所天馈配套</t>
  </si>
  <si>
    <t>中山市各分局、派出所等单位室内室分系统；含馈线、天线、功分器、安装施工及安全产生费用等，不含主机。</t>
  </si>
  <si>
    <t>PDT手持对讲机</t>
  </si>
  <si>
    <t>具体要求详见招标文件第二章采购需求-（四）PDT终端及自组网设备采购需求-PDT手持对讲机</t>
  </si>
  <si>
    <t>PDT车载台</t>
  </si>
  <si>
    <t>具体要求详见招标文件第二章采购需求-（四）PDT终端及自组网设备采购需求-PDT车载台</t>
  </si>
  <si>
    <t>PDT基地台</t>
  </si>
  <si>
    <t>具体要求详见招标文件第二章采购需求-（四）PDT终端及自组网设备采购需求-PDT基地台</t>
  </si>
  <si>
    <t>可配套PDT手持对讲机适配使用；</t>
  </si>
  <si>
    <t>具体要求详见招标文件第二章采购需求-（四）PDT终端及自组网设备采购需求-窄带自组网设备</t>
  </si>
  <si>
    <t>具体要求详见招标文件第二章采购需求-（四）PDT终端及自组网设备采购需求-PDT调度台</t>
  </si>
  <si>
    <t>运营商或铁塔公司基站租赁费用，含电费；</t>
  </si>
  <si>
    <t>现网800兆站点扩容350兆天线，含电费；</t>
  </si>
  <si>
    <t>10M OTN专线/3年，(27个现有站址，52个新增站点)主备中心传输各1条</t>
  </si>
  <si>
    <t>100M OTN专线/3年，主备份中心间链路传输费用</t>
  </si>
  <si>
    <t>运维服务</t>
  </si>
  <si>
    <t>驻场运维人员</t>
  </si>
  <si>
    <t>具体要求详见招标文件第二章采购需求-六、运维服务要求-4.PDT系统驻场保障支撑服务</t>
  </si>
  <si>
    <t>每年购买无线网优服务，服务内容包含仿真、路测、参数调优等并输出优化方案</t>
  </si>
  <si>
    <t>汇总</t>
  </si>
  <si>
    <t>序号</t>
  </si>
  <si>
    <t>基站名称</t>
  </si>
  <si>
    <t>高度</t>
  </si>
  <si>
    <t>有可能受
影响地市</t>
  </si>
  <si>
    <t>距离临市
最近距离
（单位：公里）</t>
  </si>
  <si>
    <t>天线
类型</t>
  </si>
  <si>
    <t>天线下顷角</t>
  </si>
  <si>
    <t>经度</t>
  </si>
  <si>
    <t>纬度</t>
  </si>
  <si>
    <t>中山市坦洲皇爵广场基站</t>
  </si>
  <si>
    <t>珠海</t>
  </si>
  <si>
    <t>天线方向避开珠海辖区</t>
  </si>
  <si>
    <t>113.457785E</t>
  </si>
  <si>
    <t>22.278524N</t>
  </si>
  <si>
    <t>中山市五桂山田心基站</t>
  </si>
  <si>
    <t>2.5</t>
  </si>
  <si>
    <t>5</t>
  </si>
  <si>
    <t>113.465108E</t>
  </si>
  <si>
    <t>22.402797N</t>
  </si>
  <si>
    <t>中山市坦洲镇中澳新城基站</t>
  </si>
  <si>
    <t>113.47776E</t>
  </si>
  <si>
    <t>22.26585N</t>
  </si>
  <si>
    <t>中山市三乡镇金谷大道雅居乐基站</t>
  </si>
  <si>
    <t>6</t>
  </si>
  <si>
    <t>4</t>
  </si>
  <si>
    <t>中山市阜沙镇国贸基站</t>
  </si>
  <si>
    <t>佛山</t>
  </si>
  <si>
    <t>7.5</t>
  </si>
  <si>
    <t>3</t>
  </si>
  <si>
    <t>113.18316 E</t>
  </si>
  <si>
    <t>22.401541 N</t>
  </si>
  <si>
    <t>中山市东凤镇大信广场基站</t>
  </si>
  <si>
    <t>5－6</t>
  </si>
  <si>
    <t>天线方向往佛山调至6度</t>
  </si>
  <si>
    <t>113.242167E</t>
  </si>
  <si>
    <t>22.698325N</t>
  </si>
  <si>
    <t>中山市阜沙镇大信广场基站</t>
  </si>
  <si>
    <t>8.5</t>
  </si>
  <si>
    <t>默认值</t>
  </si>
  <si>
    <t>113.344936E</t>
  </si>
  <si>
    <t>22.669788N</t>
  </si>
  <si>
    <t>中山市南头镇农村银行基站</t>
  </si>
  <si>
    <t>2</t>
  </si>
  <si>
    <t>113.28436E</t>
  </si>
  <si>
    <t>22.720929N</t>
  </si>
  <si>
    <t>中山市古镇镇灯饰大厦基站</t>
  </si>
  <si>
    <t>江门</t>
  </si>
  <si>
    <t>天线方向往江门调至6度</t>
  </si>
  <si>
    <t>113.185238E</t>
  </si>
  <si>
    <t>22.617297N</t>
  </si>
  <si>
    <t>中山市大涌镇卓旗山基站</t>
  </si>
  <si>
    <t>113.258793E</t>
  </si>
  <si>
    <t>22.482181N</t>
  </si>
  <si>
    <t>中山市翠亨新区马鞍山基站</t>
  </si>
  <si>
    <t>广州</t>
  </si>
  <si>
    <t>113.574651E</t>
  </si>
  <si>
    <t>22.575387N</t>
  </si>
  <si>
    <t>中山市翠亨新区智慧港基站</t>
  </si>
  <si>
    <t>中山市火炬投资大厦站</t>
  </si>
  <si>
    <t>9.5</t>
  </si>
  <si>
    <t>113.3871382E</t>
  </si>
  <si>
    <t>22.518660N</t>
  </si>
  <si>
    <t>中山市三角镇电信局基站</t>
  </si>
  <si>
    <t>11</t>
  </si>
  <si>
    <t>9</t>
  </si>
  <si>
    <t>113.28E</t>
  </si>
  <si>
    <t>22.64N</t>
  </si>
  <si>
    <t>中山市小榄镇海港城基站</t>
  </si>
  <si>
    <t>8.2</t>
  </si>
  <si>
    <t>113.250891E</t>
  </si>
  <si>
    <t>22.676043N</t>
  </si>
  <si>
    <t>中山市翠亨新区南朗欢朋酒店基站</t>
  </si>
  <si>
    <t>13</t>
  </si>
  <si>
    <t>113.523853E</t>
  </si>
  <si>
    <t>22.497511N</t>
  </si>
  <si>
    <t>中山市翠亨新区白企村基站</t>
  </si>
  <si>
    <t>15</t>
  </si>
  <si>
    <t>113.510731E</t>
  </si>
  <si>
    <t>22.496822N</t>
  </si>
  <si>
    <t>中山市深中通道深中大桥基站</t>
  </si>
  <si>
    <t>深圳</t>
  </si>
  <si>
    <t>10</t>
  </si>
  <si>
    <t>中山市小榄镇东升电信局基站</t>
  </si>
  <si>
    <t>113.42E</t>
  </si>
  <si>
    <t>22.67N</t>
  </si>
  <si>
    <t>中山市港口镇艾美酒店基站</t>
  </si>
  <si>
    <t>无</t>
  </si>
  <si>
    <t>14</t>
  </si>
  <si>
    <t>市中心地带</t>
  </si>
  <si>
    <t>113.392611 E</t>
  </si>
  <si>
    <t>22.584853N</t>
  </si>
  <si>
    <t>中山市石岐区街道金钻酒店基站</t>
  </si>
  <si>
    <t>20</t>
  </si>
  <si>
    <t>113.377369E</t>
  </si>
  <si>
    <t>22.542784N</t>
  </si>
  <si>
    <t>中山市火炬开发区沙边基站</t>
  </si>
  <si>
    <t>113.450055E</t>
  </si>
  <si>
    <t>中山市东区街道远洋大厦基站</t>
  </si>
  <si>
    <t>18</t>
  </si>
  <si>
    <t>113.41364E</t>
  </si>
  <si>
    <t>22.50571N</t>
  </si>
  <si>
    <t>中山市东区街道金钟水库基站</t>
  </si>
  <si>
    <t>19</t>
  </si>
  <si>
    <t>113.376207E</t>
  </si>
  <si>
    <t>22.483578N</t>
  </si>
  <si>
    <t>中山市小榄镇东升大锦基站</t>
  </si>
  <si>
    <t>113.318901E</t>
  </si>
  <si>
    <t>22.590702N</t>
  </si>
  <si>
    <t>中山市港口镇维也纳基站</t>
  </si>
  <si>
    <t>113.375377E</t>
  </si>
  <si>
    <t>22.575429N</t>
  </si>
  <si>
    <t>中山市石岐区农行基站</t>
  </si>
  <si>
    <t>113.36376 E</t>
  </si>
  <si>
    <t>22.510380N</t>
  </si>
  <si>
    <t>350兆载波数</t>
  </si>
  <si>
    <t>350兆最大
语音信道</t>
  </si>
  <si>
    <t>800兆载
波数</t>
  </si>
  <si>
    <t>800兆最大
语音信道</t>
  </si>
  <si>
    <t>最大信道正负比（350大于800为+）</t>
  </si>
  <si>
    <t>中山市黄圃镇电信局基站</t>
  </si>
  <si>
    <t>中山市民众镇电信局基站</t>
  </si>
  <si>
    <t>中山市五桂山街道龙石村基站</t>
  </si>
  <si>
    <t>中山市板芙镇邮政局基站</t>
  </si>
  <si>
    <t>中山市神湾镇大排村基站</t>
  </si>
  <si>
    <t>中山市翠亨新区下沙村基站</t>
  </si>
  <si>
    <t>中山市西区街道电信局基站</t>
  </si>
  <si>
    <t>中山车载基站YD</t>
  </si>
  <si>
    <t>中山市横栏镇邮政局基站</t>
  </si>
  <si>
    <t>中山市大涌镇南文社区基站</t>
  </si>
  <si>
    <t>中山市南区街道马岭村基站</t>
  </si>
  <si>
    <t>中山市三乡镇三乡温泉基站</t>
  </si>
  <si>
    <t>中山市火炬开发区颐景基站</t>
  </si>
  <si>
    <t>中山市火炬开发区生物谷基站</t>
  </si>
  <si>
    <t>中山市翠亨新区横门山基站</t>
  </si>
  <si>
    <t>中山市板芙镇环树涌基站</t>
  </si>
  <si>
    <t>中山市板芙镇深湾基站</t>
  </si>
  <si>
    <t>中山市东区街道白沙湾基站</t>
  </si>
  <si>
    <t>中山市东区街道凯茵新城基站</t>
  </si>
  <si>
    <t>中山市港口镇大南基站</t>
  </si>
  <si>
    <t>中山市黄圃镇乌珠基站</t>
  </si>
  <si>
    <t>中山市小榄镇东升泰丰基站</t>
  </si>
  <si>
    <t>中山市翠亨新区东桠基站</t>
  </si>
  <si>
    <t>中山市三角镇高平基站</t>
  </si>
  <si>
    <t>中山市三乡镇白石基站</t>
  </si>
  <si>
    <t>中山市三乡镇繁星基站</t>
  </si>
  <si>
    <t>中山市沙溪镇体育馆基站</t>
  </si>
  <si>
    <t>中山市神湾镇竹排基站</t>
  </si>
  <si>
    <t>中山市翠亨新区马鞍岛口岸客运基站</t>
  </si>
  <si>
    <t>中山市公安局基站</t>
  </si>
  <si>
    <t>中山市坦洲镇新合中穗基站</t>
  </si>
  <si>
    <t>中山市五桂山福和基站</t>
  </si>
  <si>
    <t>中山市五桂山万鑫基站</t>
  </si>
  <si>
    <t>中山市小榄镇泰乐基站</t>
  </si>
  <si>
    <t>中山市横栏镇美逸基站</t>
  </si>
  <si>
    <t>中山市小榄镇东升熊猫纪念场馆基站</t>
  </si>
  <si>
    <t>中山市沙溪镇圣狮基站</t>
  </si>
  <si>
    <t>中山市沙溪镇成功实业大厦基站</t>
  </si>
  <si>
    <t>中山市石岐区人民医院基站</t>
  </si>
  <si>
    <t>中山市民众镇平三基站</t>
  </si>
  <si>
    <t>中山市三乡镇里铺基站</t>
  </si>
  <si>
    <t>中山市翠亨新区翠亨逸仙水库基站</t>
  </si>
  <si>
    <t>中山市深中通道西人工岛基站</t>
  </si>
  <si>
    <t>中山市神湾镇凝星名都基站</t>
  </si>
  <si>
    <t>中山市古镇镇海洲基站</t>
  </si>
  <si>
    <t>中山市沙朗镇电信局基站</t>
  </si>
  <si>
    <t>中山市南区街道邮政局基站</t>
  </si>
  <si>
    <t>中山市民众街道浪网益群基站</t>
  </si>
  <si>
    <t>中山市坦洲镇十四村基站</t>
  </si>
  <si>
    <t>中山市大涌镇石井基站</t>
  </si>
  <si>
    <t>中山市黄圃镇嘉仕利基站</t>
  </si>
  <si>
    <t>中山市南区街道西环三路基站</t>
  </si>
  <si>
    <t>中山市小榄镇东升坦背胜隆基站</t>
  </si>
  <si>
    <t>中山移动站2YD</t>
  </si>
  <si>
    <t>中山市民众街道沙仔基站</t>
  </si>
  <si>
    <t>中山市黄圃镇大雁基站</t>
  </si>
  <si>
    <t>中山市古镇镇水岸湾基站</t>
  </si>
  <si>
    <t>中山市东区街道紫园基站</t>
  </si>
  <si>
    <t>中山市南区街道蒂森基站</t>
  </si>
  <si>
    <t>中山市南朗霖海泉舍</t>
  </si>
  <si>
    <t>合计</t>
  </si>
  <si>
    <t>建设后350兆载波配置</t>
  </si>
  <si>
    <t>350兆峰值功耗</t>
  </si>
  <si>
    <t>800兆载波数</t>
  </si>
  <si>
    <t>800兆峰值功耗</t>
  </si>
  <si>
    <t>其余功耗</t>
  </si>
  <si>
    <t>站点平均功耗（w）</t>
  </si>
  <si>
    <t>UPS情况</t>
  </si>
  <si>
    <t>UPS主机（KWA）</t>
  </si>
  <si>
    <t>后备电支撑时长（小时）</t>
  </si>
  <si>
    <t>新增</t>
  </si>
  <si>
    <t>现有</t>
  </si>
  <si>
    <t>服务商提供</t>
  </si>
  <si>
    <t>古镇分局</t>
  </si>
  <si>
    <t>建设项目</t>
  </si>
  <si>
    <t>站点</t>
  </si>
  <si>
    <t>设置地址</t>
  </si>
  <si>
    <t>天线海拔高度（米）</t>
  </si>
  <si>
    <t>载波数</t>
  </si>
  <si>
    <t>一期</t>
  </si>
  <si>
    <t>东区兴中道26号市公安局</t>
  </si>
  <si>
    <t>中山市镇区黄圃镇兴圃大道西电信局</t>
  </si>
  <si>
    <t>中山市镇区民众镇民众大道电信局</t>
  </si>
  <si>
    <t>中山市镇区五桂山镇龙石村石鼓社区服务中心大楼后山上1楼无线机房</t>
  </si>
  <si>
    <t>中山市镇区板芙镇板芙大道南供电公司</t>
  </si>
  <si>
    <t>广东省中山市三乡镇金涌大道雅居乐花园</t>
  </si>
  <si>
    <t>中山市镇区神湾镇下涌街海港村民委员会附近铁塔</t>
  </si>
  <si>
    <t>中山市南朗镇岭南路62号c栋希尔顿欢朋酒店</t>
  </si>
  <si>
    <t>中山市镇区坦洲镇界狮南路中澳新城御湖居29幢</t>
  </si>
  <si>
    <t>中山市镇区古镇镇中兴大道古镇灯饰大厦A座</t>
  </si>
  <si>
    <t>中山市镇区南朗镇下沙村下沙基站（翠享学校旁铁塔）</t>
  </si>
  <si>
    <t xml:space="preserve">  中山市镇区小榄镇升平东路1号海港城商业中心主楼</t>
  </si>
  <si>
    <t>二期</t>
  </si>
  <si>
    <t>中山市城区西区街道办富华道西区电信大楼</t>
  </si>
  <si>
    <t>中山市城区石岐街道办康华路33号金钻酒店主楼</t>
  </si>
  <si>
    <t>中山市城区西区街道办沙朗港隆南路2号（沙朗电信大楼）</t>
  </si>
  <si>
    <t>中山市镇区南区街道办银潭一路1号南区邮政局</t>
  </si>
  <si>
    <t>中山市沙溪镇岐江公路乐群路段49号成功实业大厦</t>
  </si>
  <si>
    <t>中山市镇区火炬区马安管理区马安村飞蛾山山顶铁塔</t>
  </si>
  <si>
    <t>中山市镇区港口镇下南村下南小学西150m处铁塔</t>
  </si>
  <si>
    <t>中山市镇区南朗镇东桠村亨利楼</t>
  </si>
  <si>
    <t>中山市镇区三角镇金三大道97号电信大楼</t>
  </si>
  <si>
    <t>中山市镇区东升镇同兴西路19号电信大楼</t>
  </si>
  <si>
    <t>中山市镇区横栏镇西冲中路92号邮政局</t>
  </si>
  <si>
    <t>中山市沙溪镇工业大道26号一公寓楼顶铁塔</t>
  </si>
  <si>
    <t>中山市镇区大涌镇旗山路240号金米粒休闲中心6楼机房</t>
  </si>
  <si>
    <t>应急基站</t>
  </si>
  <si>
    <t>中山市东区兴中道26号公安局内</t>
  </si>
  <si>
    <t>互联互通</t>
  </si>
  <si>
    <t>中山市城区东区街道办博爱六路28号远洋城楼顶</t>
  </si>
  <si>
    <t>三期</t>
  </si>
  <si>
    <t>中山市城区石岐街道办悦来南路19号中国农业银行信联大厦</t>
  </si>
  <si>
    <t xml:space="preserve">  中山市镇区港口镇兴港南路16号维也纳酒店</t>
  </si>
  <si>
    <t>便携基站</t>
  </si>
  <si>
    <t>中山市公安局内</t>
  </si>
  <si>
    <t>中山市镇区东凤镇凤翔大道名扬世纪广场裙楼大润发</t>
  </si>
  <si>
    <t>中山市镇区阜沙镇阜沙大道63号大信置业</t>
  </si>
  <si>
    <t>中山市黄圃镇石军村西北方乌珠山附近铁塔</t>
  </si>
  <si>
    <t>中山市民众镇番中公路平三路段进宝汽车服务中心后移动铁塔（主线路）</t>
  </si>
  <si>
    <t>中山市东区白沙湾村漏下直街富晨公寓</t>
  </si>
  <si>
    <t>中山市镇区三乡镇兴塘二路白石铁塔</t>
  </si>
  <si>
    <t>自购</t>
  </si>
  <si>
    <t>中山市镇区三乡镇广珠公路中山温泉电房楼顶（工程部旁）</t>
  </si>
  <si>
    <t>中山市东区长江路紫园</t>
  </si>
  <si>
    <t>中山市三乡镇塘敢村沥金路朝航印刷有限公司内铁塔</t>
  </si>
  <si>
    <t>中山市三乡镇沙坦路972号繁星亮丽翠苑</t>
  </si>
  <si>
    <t>中山市神湾镇桂竹路6号宏鸿船厂斜对面神湾竹排村委会旁铁塔</t>
  </si>
  <si>
    <t>中山市火炬开发区健康路1号（生物谷大厦顶楼）</t>
  </si>
  <si>
    <t xml:space="preserve">  中山市镇区火炬区会展东路12号投资大厦A区（东面）</t>
  </si>
  <si>
    <t>中山市南区马岭大新路11-13号（蒂森电梯站）</t>
  </si>
  <si>
    <t>中山市镇区三角镇高平村富康路8号顺驰购物中心楼顶</t>
  </si>
  <si>
    <t>中山市城区东区街道办福获路凯茵新城员工村2栋</t>
  </si>
  <si>
    <t>中山市镇区东升镇坦背东二马路(大锦中心)</t>
  </si>
  <si>
    <t>三乡便携基站</t>
  </si>
  <si>
    <t>中山市公安局三乡分局内</t>
  </si>
  <si>
    <t xml:space="preserve">  中山市镇区南头镇南头大道中18号广东农信中山农商银行</t>
  </si>
  <si>
    <t>中山市镇区五桂山镇南桥村33号(万鑫花园)52幢对面铁塔</t>
  </si>
  <si>
    <t>中山市镇区五桂山镇田心村田心水库山顶铁塔</t>
  </si>
  <si>
    <t>中山市镇区五桂山镇长命水大道38号福和酒店</t>
  </si>
  <si>
    <t>中山市镇区大涌镇环镇路卓旗山庄山上通讯杆</t>
  </si>
  <si>
    <t>中山市镇区板芙镇板芙南路134号后山铁塔</t>
  </si>
  <si>
    <t>中山市镇区神湾镇神湾大道中238号(凝星名都)缤纷大街12幢</t>
  </si>
  <si>
    <t>中山市南朗镇榄横路与573县道交汇处山上</t>
  </si>
  <si>
    <t>中山市镇区南朗镇白企元山村(中山市南朗镇白企村民委员会)后面山上</t>
  </si>
  <si>
    <t>中山市镇区南朗镇海情路1号温泉海岸公寓</t>
  </si>
  <si>
    <t xml:space="preserve">  中山市城区石岐街道办孙文中路2号市人民医院康怡特诊大楼</t>
  </si>
  <si>
    <t>中山市镇区坦洲镇坦神北路118号皇爵假日广场</t>
  </si>
  <si>
    <t>中山市镇区阜沙镇卫民村聚福街18号(国贸逸豪酒店）</t>
  </si>
  <si>
    <t>中山市镇区横栏镇长安北路(美逸大酒店)</t>
  </si>
  <si>
    <t xml:space="preserve">  中山市镇区沙溪镇圣狮村园山新村1号山上铁塔</t>
  </si>
  <si>
    <t xml:space="preserve">  中山市镇区火炬区沙富路沙富二巷山上铁塔</t>
  </si>
  <si>
    <t>中山市镇区坦洲镇十四村冲尾街三巷16号楼顶铁塔</t>
  </si>
  <si>
    <t>中山市镇区小榄镇西区太乐路24号楼顶铁塔</t>
  </si>
  <si>
    <t>中山市城区东区街道办新安村东苑南路自编3号金钟水库通讯杆</t>
  </si>
  <si>
    <t>中山市镇区火炬区颐岭路30号颐景苑聚豪庭楼顶</t>
  </si>
  <si>
    <t>中山市镇区港口镇港口大道21号(艾美酒店)</t>
  </si>
  <si>
    <t>中山市镇区古镇镇中兴大道北1号海都广场商铺维也纳酒店</t>
  </si>
  <si>
    <t>铁塔</t>
  </si>
  <si>
    <t>中山市中生街17号坦洲新合中穗铁塔</t>
  </si>
  <si>
    <t>113.408196E</t>
  </si>
  <si>
    <t>22.238632N</t>
  </si>
  <si>
    <t>中山市沙仔路村民委员会 后铁塔</t>
  </si>
  <si>
    <t>中山中山市大雁东街14号一铁塔</t>
  </si>
  <si>
    <t>中山市古镇镇古三村园林直街1号水岸湾</t>
  </si>
  <si>
    <t>中山市曹边工业大道12号环城树涌铁塔</t>
  </si>
  <si>
    <t>113.312866E</t>
  </si>
  <si>
    <t>22.442603N</t>
  </si>
  <si>
    <t>深中</t>
  </si>
  <si>
    <t>中山市中准道32号非常城市智慧港楼顶电梯机房</t>
  </si>
  <si>
    <t>中山市深中大桥西桥桥墩顶夹</t>
  </si>
  <si>
    <t>项目名称</t>
  </si>
  <si>
    <t>PDT基站建设内容</t>
  </si>
  <si>
    <t>新增载波数</t>
  </si>
  <si>
    <t>投资金额(万元)</t>
  </si>
  <si>
    <t>单载波平均建设费用</t>
  </si>
  <si>
    <t>中山市公安局警用数字集群（PDT)通信系统扩容项目（基站建设部分）</t>
  </si>
  <si>
    <t>增加现有28个固定基站及便携站扩容72个载波。
50个4载波基站和2个8载波基站调整为48个4载波基站、3个6载波基站和1个12载波基站。</t>
  </si>
  <si>
    <t>中山市公安局警用数字集群（PDT)通信系统扩容项目</t>
  </si>
  <si>
    <t>新建52套固定基站提高350兆无线网络覆盖（其中4载波固定基站48套、6载波固定基站3套、12载波固定基站1套）。
新建4载波便携式基站1套。
扩容原有项目固定基站72个载波（其中20个固定基站2载波升级为4载波，6个固定基站2载波升级为6载波、1个固定基站2载波升级为8载波、1个固定基站4载波升级为6载波）。
搬迁原有1个基站（火炬张家边四村）。
现有交换中心进行信创适配改造，新增1套（古镇备用交换中心）为现有的交换中心提供安全备份；配套PDT专网与公安网专用边界链路1条。
新增102套室分系统（包含广珠西线隧道、西部沿海高速隧道、各重大公共场所室内、各分局或机关单位室内、各派出所室内）
配置对讲机4000套、车载台38套、基地台45套、窄带自组网设备5套、调度台5个，软载波授权10个；</t>
  </si>
  <si>
    <t>广东省公安厅2023-102警用数字集群（PDT）区域应急无线指挥调度系统项目</t>
  </si>
  <si>
    <t>新建207个2载波PDT固定宏基站、2个2载波且可临时软扩容到4载波应急扩容PDT基站、27个2载波PDT移动基站，对长度≥2千米的16条隧道做PDT信号覆盖；新建2套鉴权服务器、2套密钥服务器、11台防火墙；新建1个省级对讲业务互联平台（包含省级POC系统和省级POC互联平台）；新建1套自组网系统联网调度平台、1套与PDT互联的中心、30个自组网高架站；进行PDT优化专项1项；购置432台终端，以及配套的机房、链路租赁、电费、安全加固、ICC互联检验、定位平台迁移等内容。</t>
  </si>
  <si>
    <t>东莞市公安局350兆无线数字集群通信系统二期</t>
  </si>
  <si>
    <t>本期新增33套基站（包括17套6载波固定基站、5套6载波机动补盲基站、7套光纤直放站、2套无线直放站、2套4G单载波便携基站）。本期配置一套安全边界接入平台，满足 PDT 专网到公安信息网语音和数据的安全交互。本期补充配备 300 套手持台及配件（每套含主机、电池、耳机及加密卡等配件），50 套基地台
（每套含主机、电源、吸盘天线及加密卡等配件）</t>
  </si>
  <si>
    <t>PDT基站载波数</t>
  </si>
  <si>
    <t>业务信道数（条）</t>
  </si>
  <si>
    <r>
      <rPr>
        <b/>
        <sz val="10.5"/>
        <color rgb="FF000000"/>
        <rFont val="宋体"/>
        <charset val="134"/>
      </rPr>
      <t>容纳话务量（</t>
    </r>
    <r>
      <rPr>
        <b/>
        <sz val="10.5"/>
        <color rgb="FF000000"/>
        <rFont val="Calibri"/>
        <charset val="134"/>
      </rPr>
      <t>Erl)</t>
    </r>
  </si>
  <si>
    <t>支持用户数（户）</t>
  </si>
  <si>
    <t>支持通话组数</t>
  </si>
  <si>
    <r>
      <rPr>
        <sz val="10.5"/>
        <color rgb="FF000000"/>
        <rFont val="Calibri"/>
        <charset val="134"/>
      </rPr>
      <t>5%</t>
    </r>
    <r>
      <rPr>
        <sz val="10.5"/>
        <color rgb="FF000000"/>
        <rFont val="宋体"/>
        <charset val="134"/>
      </rPr>
      <t>呼损</t>
    </r>
  </si>
  <si>
    <t>峰值功耗指标</t>
  </si>
  <si>
    <t>散热指标</t>
  </si>
  <si>
    <t>功耗</t>
  </si>
  <si>
    <t>基站数量</t>
  </si>
  <si>
    <t>冗余系数</t>
  </si>
  <si>
    <t>平均功耗指标</t>
  </si>
  <si>
    <t>每天用电时长</t>
  </si>
  <si>
    <t>设备电费
(元/月)</t>
  </si>
  <si>
    <t>设备电费
(元/3年)</t>
  </si>
  <si>
    <r>
      <rPr>
        <sz val="10"/>
        <color theme="1"/>
        <rFont val="Times New Roman"/>
        <charset val="134"/>
      </rPr>
      <t>350</t>
    </r>
    <r>
      <rPr>
        <sz val="10"/>
        <color theme="1"/>
        <rFont val="宋体"/>
        <charset val="134"/>
      </rPr>
      <t>兆</t>
    </r>
    <r>
      <rPr>
        <sz val="10"/>
        <color theme="1"/>
        <rFont val="Times New Roman"/>
        <charset val="134"/>
      </rPr>
      <t>2</t>
    </r>
    <r>
      <rPr>
        <sz val="10"/>
        <color theme="1"/>
        <rFont val="宋体"/>
        <charset val="134"/>
      </rPr>
      <t>载频基站</t>
    </r>
  </si>
  <si>
    <r>
      <rPr>
        <sz val="10"/>
        <color theme="1"/>
        <rFont val="宋体"/>
        <charset val="134"/>
      </rPr>
      <t>≤</t>
    </r>
    <r>
      <rPr>
        <sz val="10"/>
        <color theme="1"/>
        <rFont val="Times New Roman"/>
        <charset val="134"/>
      </rPr>
      <t>650W</t>
    </r>
  </si>
  <si>
    <r>
      <rPr>
        <sz val="10"/>
        <color theme="1"/>
        <rFont val="宋体"/>
        <charset val="134"/>
      </rPr>
      <t>≤</t>
    </r>
    <r>
      <rPr>
        <sz val="10"/>
        <color theme="1"/>
        <rFont val="Times New Roman"/>
        <charset val="134"/>
      </rPr>
      <t>300W</t>
    </r>
  </si>
  <si>
    <r>
      <rPr>
        <sz val="10"/>
        <color theme="1"/>
        <rFont val="Times New Roman"/>
        <charset val="134"/>
      </rPr>
      <t>350</t>
    </r>
    <r>
      <rPr>
        <sz val="10"/>
        <color theme="1"/>
        <rFont val="宋体"/>
        <charset val="134"/>
      </rPr>
      <t>兆</t>
    </r>
    <r>
      <rPr>
        <sz val="10"/>
        <color theme="1"/>
        <rFont val="Times New Roman"/>
        <charset val="134"/>
      </rPr>
      <t>4</t>
    </r>
    <r>
      <rPr>
        <sz val="10"/>
        <color theme="1"/>
        <rFont val="宋体"/>
        <charset val="134"/>
      </rPr>
      <t>载频基站</t>
    </r>
  </si>
  <si>
    <r>
      <rPr>
        <sz val="10"/>
        <color theme="1"/>
        <rFont val="宋体"/>
        <charset val="134"/>
      </rPr>
      <t>≤</t>
    </r>
    <r>
      <rPr>
        <sz val="10"/>
        <color theme="1"/>
        <rFont val="Times New Roman"/>
        <charset val="134"/>
      </rPr>
      <t>1200W</t>
    </r>
  </si>
  <si>
    <r>
      <rPr>
        <sz val="10"/>
        <color theme="1"/>
        <rFont val="宋体"/>
        <charset val="134"/>
      </rPr>
      <t>≤</t>
    </r>
    <r>
      <rPr>
        <sz val="10"/>
        <color theme="1"/>
        <rFont val="Times New Roman"/>
        <charset val="134"/>
      </rPr>
      <t>550W</t>
    </r>
  </si>
  <si>
    <r>
      <rPr>
        <sz val="10"/>
        <color theme="1"/>
        <rFont val="Times New Roman"/>
        <charset val="134"/>
      </rPr>
      <t>350</t>
    </r>
    <r>
      <rPr>
        <sz val="10"/>
        <color theme="1"/>
        <rFont val="宋体"/>
        <charset val="134"/>
      </rPr>
      <t>兆</t>
    </r>
    <r>
      <rPr>
        <sz val="10"/>
        <color theme="1"/>
        <rFont val="Times New Roman"/>
        <charset val="134"/>
      </rPr>
      <t>6</t>
    </r>
    <r>
      <rPr>
        <sz val="10"/>
        <color theme="1"/>
        <rFont val="宋体"/>
        <charset val="134"/>
      </rPr>
      <t>载频基站</t>
    </r>
  </si>
  <si>
    <r>
      <rPr>
        <sz val="10"/>
        <color theme="1"/>
        <rFont val="宋体"/>
        <charset val="134"/>
      </rPr>
      <t>≤</t>
    </r>
    <r>
      <rPr>
        <sz val="10"/>
        <color theme="1"/>
        <rFont val="Times New Roman"/>
        <charset val="134"/>
      </rPr>
      <t>1600W</t>
    </r>
  </si>
  <si>
    <r>
      <rPr>
        <sz val="10"/>
        <color theme="1"/>
        <rFont val="宋体"/>
        <charset val="134"/>
      </rPr>
      <t>≤</t>
    </r>
    <r>
      <rPr>
        <sz val="10"/>
        <color theme="1"/>
        <rFont val="Times New Roman"/>
        <charset val="134"/>
      </rPr>
      <t>800W</t>
    </r>
  </si>
  <si>
    <r>
      <rPr>
        <sz val="10"/>
        <color theme="1"/>
        <rFont val="Times New Roman"/>
        <charset val="134"/>
      </rPr>
      <t>350</t>
    </r>
    <r>
      <rPr>
        <sz val="10"/>
        <color theme="1"/>
        <rFont val="宋体"/>
        <charset val="134"/>
      </rPr>
      <t>兆</t>
    </r>
    <r>
      <rPr>
        <sz val="10"/>
        <color theme="1"/>
        <rFont val="Times New Roman"/>
        <charset val="134"/>
      </rPr>
      <t>8</t>
    </r>
    <r>
      <rPr>
        <sz val="10"/>
        <color theme="1"/>
        <rFont val="宋体"/>
        <charset val="134"/>
      </rPr>
      <t>载频基站</t>
    </r>
  </si>
  <si>
    <r>
      <rPr>
        <sz val="10"/>
        <color theme="1"/>
        <rFont val="宋体"/>
        <charset val="134"/>
      </rPr>
      <t>≤</t>
    </r>
    <r>
      <rPr>
        <sz val="10"/>
        <color theme="1"/>
        <rFont val="Times New Roman"/>
        <charset val="134"/>
      </rPr>
      <t>2000W</t>
    </r>
  </si>
  <si>
    <r>
      <rPr>
        <sz val="10"/>
        <color theme="1"/>
        <rFont val="宋体"/>
        <charset val="134"/>
      </rPr>
      <t>≤</t>
    </r>
    <r>
      <rPr>
        <sz val="10"/>
        <color theme="1"/>
        <rFont val="Times New Roman"/>
        <charset val="134"/>
      </rPr>
      <t>1050W</t>
    </r>
  </si>
  <si>
    <r>
      <rPr>
        <sz val="10"/>
        <color theme="1"/>
        <rFont val="Times New Roman"/>
        <charset val="134"/>
      </rPr>
      <t>350</t>
    </r>
    <r>
      <rPr>
        <sz val="10"/>
        <color theme="1"/>
        <rFont val="宋体"/>
        <charset val="134"/>
      </rPr>
      <t>兆</t>
    </r>
    <r>
      <rPr>
        <sz val="10"/>
        <color theme="1"/>
        <rFont val="Times New Roman"/>
        <charset val="134"/>
      </rPr>
      <t>12</t>
    </r>
    <r>
      <rPr>
        <sz val="10"/>
        <color theme="1"/>
        <rFont val="宋体"/>
        <charset val="134"/>
      </rPr>
      <t>载频基站</t>
    </r>
  </si>
  <si>
    <r>
      <rPr>
        <sz val="10"/>
        <color theme="1"/>
        <rFont val="宋体"/>
        <charset val="134"/>
      </rPr>
      <t>≤</t>
    </r>
    <r>
      <rPr>
        <sz val="10"/>
        <color theme="1"/>
        <rFont val="Times New Roman"/>
        <charset val="134"/>
      </rPr>
      <t>2800W</t>
    </r>
  </si>
  <si>
    <r>
      <rPr>
        <sz val="10"/>
        <color theme="1"/>
        <rFont val="宋体"/>
        <charset val="134"/>
      </rPr>
      <t>≤</t>
    </r>
    <r>
      <rPr>
        <sz val="10"/>
        <color theme="1"/>
        <rFont val="Times New Roman"/>
        <charset val="134"/>
      </rPr>
      <t>1550W</t>
    </r>
  </si>
  <si>
    <r>
      <rPr>
        <sz val="10"/>
        <color theme="1"/>
        <rFont val="Times New Roman"/>
        <charset val="134"/>
      </rPr>
      <t>350</t>
    </r>
    <r>
      <rPr>
        <sz val="10"/>
        <color theme="1"/>
        <rFont val="宋体"/>
        <charset val="134"/>
      </rPr>
      <t>兆</t>
    </r>
    <r>
      <rPr>
        <sz val="10"/>
        <color theme="1"/>
        <rFont val="Times New Roman"/>
        <charset val="134"/>
      </rPr>
      <t>1</t>
    </r>
    <r>
      <rPr>
        <sz val="10"/>
        <color theme="1"/>
        <rFont val="宋体"/>
        <charset val="134"/>
      </rPr>
      <t>6载频基站</t>
    </r>
  </si>
  <si>
    <r>
      <rPr>
        <sz val="10"/>
        <color theme="1"/>
        <rFont val="宋体"/>
        <charset val="134"/>
      </rPr>
      <t>≤</t>
    </r>
    <r>
      <rPr>
        <sz val="10"/>
        <color theme="1"/>
        <rFont val="Times New Roman"/>
        <charset val="134"/>
      </rPr>
      <t>3600W</t>
    </r>
  </si>
  <si>
    <r>
      <rPr>
        <sz val="10"/>
        <color theme="1"/>
        <rFont val="宋体"/>
        <charset val="134"/>
      </rPr>
      <t>≤</t>
    </r>
    <r>
      <rPr>
        <sz val="10"/>
        <color theme="1"/>
        <rFont val="Times New Roman"/>
        <charset val="134"/>
      </rPr>
      <t>2100W</t>
    </r>
  </si>
  <si>
    <r>
      <rPr>
        <sz val="10"/>
        <color theme="1"/>
        <rFont val="Times New Roman"/>
        <charset val="134"/>
      </rPr>
      <t>800</t>
    </r>
    <r>
      <rPr>
        <sz val="10"/>
        <color theme="1"/>
        <rFont val="宋体"/>
        <charset val="134"/>
      </rPr>
      <t>兆</t>
    </r>
    <r>
      <rPr>
        <sz val="10"/>
        <color theme="1"/>
        <rFont val="Times New Roman"/>
        <charset val="134"/>
      </rPr>
      <t>1</t>
    </r>
    <r>
      <rPr>
        <sz val="10"/>
        <color theme="1"/>
        <rFont val="宋体"/>
        <charset val="134"/>
      </rPr>
      <t>载频基站</t>
    </r>
  </si>
  <si>
    <r>
      <rPr>
        <sz val="10"/>
        <color theme="1"/>
        <rFont val="宋体"/>
        <charset val="134"/>
      </rPr>
      <t>≤3</t>
    </r>
    <r>
      <rPr>
        <sz val="10"/>
        <color theme="1"/>
        <rFont val="Times New Roman"/>
        <charset val="134"/>
      </rPr>
      <t>50W</t>
    </r>
  </si>
  <si>
    <r>
      <rPr>
        <sz val="10"/>
        <color theme="1"/>
        <rFont val="宋体"/>
        <charset val="134"/>
      </rPr>
      <t>≤15</t>
    </r>
    <r>
      <rPr>
        <sz val="10"/>
        <color theme="1"/>
        <rFont val="Times New Roman"/>
        <charset val="134"/>
      </rPr>
      <t>0W</t>
    </r>
  </si>
  <si>
    <r>
      <rPr>
        <sz val="10"/>
        <color theme="1"/>
        <rFont val="Times New Roman"/>
        <charset val="134"/>
      </rPr>
      <t>800</t>
    </r>
    <r>
      <rPr>
        <sz val="10"/>
        <color theme="1"/>
        <rFont val="宋体"/>
        <charset val="134"/>
      </rPr>
      <t>兆</t>
    </r>
    <r>
      <rPr>
        <sz val="10"/>
        <color theme="1"/>
        <rFont val="Times New Roman"/>
        <charset val="134"/>
      </rPr>
      <t>2</t>
    </r>
    <r>
      <rPr>
        <sz val="10"/>
        <color theme="1"/>
        <rFont val="宋体"/>
        <charset val="134"/>
      </rPr>
      <t>载频基站</t>
    </r>
  </si>
  <si>
    <r>
      <rPr>
        <sz val="10"/>
        <color theme="1"/>
        <rFont val="Times New Roman"/>
        <charset val="134"/>
      </rPr>
      <t>800</t>
    </r>
    <r>
      <rPr>
        <sz val="10"/>
        <color theme="1"/>
        <rFont val="宋体"/>
        <charset val="134"/>
      </rPr>
      <t>兆</t>
    </r>
    <r>
      <rPr>
        <sz val="10"/>
        <color theme="1"/>
        <rFont val="Times New Roman"/>
        <charset val="134"/>
      </rPr>
      <t>3</t>
    </r>
    <r>
      <rPr>
        <sz val="10"/>
        <color theme="1"/>
        <rFont val="宋体"/>
        <charset val="134"/>
      </rPr>
      <t>载频基站</t>
    </r>
  </si>
  <si>
    <r>
      <rPr>
        <sz val="10"/>
        <color theme="1"/>
        <rFont val="宋体"/>
        <charset val="134"/>
      </rPr>
      <t>≤950</t>
    </r>
    <r>
      <rPr>
        <sz val="10"/>
        <color theme="1"/>
        <rFont val="Times New Roman"/>
        <charset val="134"/>
      </rPr>
      <t>W</t>
    </r>
  </si>
  <si>
    <r>
      <rPr>
        <sz val="10"/>
        <color theme="1"/>
        <rFont val="宋体"/>
        <charset val="134"/>
      </rPr>
      <t>≤45</t>
    </r>
    <r>
      <rPr>
        <sz val="10"/>
        <color theme="1"/>
        <rFont val="Times New Roman"/>
        <charset val="134"/>
      </rPr>
      <t>0W</t>
    </r>
  </si>
  <si>
    <r>
      <rPr>
        <sz val="10"/>
        <color theme="1"/>
        <rFont val="Times New Roman"/>
        <charset val="134"/>
      </rPr>
      <t>800</t>
    </r>
    <r>
      <rPr>
        <sz val="10"/>
        <color theme="1"/>
        <rFont val="宋体"/>
        <charset val="134"/>
      </rPr>
      <t>兆</t>
    </r>
    <r>
      <rPr>
        <sz val="10"/>
        <color theme="1"/>
        <rFont val="Times New Roman"/>
        <charset val="134"/>
      </rPr>
      <t>4</t>
    </r>
    <r>
      <rPr>
        <sz val="10"/>
        <color theme="1"/>
        <rFont val="宋体"/>
        <charset val="134"/>
      </rPr>
      <t>载频基站</t>
    </r>
  </si>
  <si>
    <r>
      <rPr>
        <sz val="10"/>
        <color theme="1"/>
        <rFont val="Times New Roman"/>
        <charset val="134"/>
      </rPr>
      <t>800</t>
    </r>
    <r>
      <rPr>
        <sz val="10"/>
        <color theme="1"/>
        <rFont val="宋体"/>
        <charset val="134"/>
      </rPr>
      <t>兆</t>
    </r>
    <r>
      <rPr>
        <sz val="10"/>
        <color theme="1"/>
        <rFont val="Times New Roman"/>
        <charset val="134"/>
      </rPr>
      <t>6</t>
    </r>
    <r>
      <rPr>
        <sz val="10"/>
        <color theme="1"/>
        <rFont val="宋体"/>
        <charset val="134"/>
      </rPr>
      <t>载频基站</t>
    </r>
  </si>
  <si>
    <r>
      <rPr>
        <sz val="10"/>
        <color theme="1"/>
        <rFont val="Times New Roman"/>
        <charset val="134"/>
      </rPr>
      <t>800</t>
    </r>
    <r>
      <rPr>
        <sz val="10"/>
        <color theme="1"/>
        <rFont val="宋体"/>
        <charset val="134"/>
      </rPr>
      <t>兆</t>
    </r>
    <r>
      <rPr>
        <sz val="10"/>
        <color theme="1"/>
        <rFont val="Times New Roman"/>
        <charset val="134"/>
      </rPr>
      <t>8</t>
    </r>
    <r>
      <rPr>
        <sz val="10"/>
        <color theme="1"/>
        <rFont val="宋体"/>
        <charset val="134"/>
      </rPr>
      <t>载频基站</t>
    </r>
  </si>
  <si>
    <t>服务器</t>
  </si>
  <si>
    <r>
      <rPr>
        <sz val="10"/>
        <color theme="1"/>
        <rFont val="宋体"/>
        <charset val="134"/>
      </rPr>
      <t>≤8</t>
    </r>
    <r>
      <rPr>
        <sz val="10"/>
        <color theme="1"/>
        <rFont val="Times New Roman"/>
        <charset val="134"/>
      </rPr>
      <t>00W</t>
    </r>
  </si>
  <si>
    <t>机柜</t>
  </si>
  <si>
    <r>
      <rPr>
        <sz val="10"/>
        <color theme="1"/>
        <rFont val="宋体"/>
        <charset val="134"/>
      </rPr>
      <t>≤30</t>
    </r>
    <r>
      <rPr>
        <sz val="10"/>
        <color theme="1"/>
        <rFont val="Times New Roman"/>
        <charset val="134"/>
      </rPr>
      <t>00W</t>
    </r>
  </si>
  <si>
    <t>地市</t>
  </si>
  <si>
    <t>PDT固定基站数量</t>
  </si>
  <si>
    <t>PDT固定基站载频数</t>
  </si>
  <si>
    <t>PDT移动基站数量</t>
  </si>
  <si>
    <t>PDT移动基站载频数</t>
  </si>
  <si>
    <t>PDT终端数量</t>
  </si>
  <si>
    <t>交换中心容灾建设</t>
  </si>
  <si>
    <t>广州市</t>
  </si>
  <si>
    <t>本地TETRA系统主用，PDT以省厅建设为主</t>
  </si>
  <si>
    <t>深圳市</t>
  </si>
  <si>
    <t>本市双中心容灾</t>
  </si>
  <si>
    <t>不含地铁系统的315个基站</t>
  </si>
  <si>
    <t>佛山市</t>
  </si>
  <si>
    <t>东莞市</t>
  </si>
  <si>
    <t>中山市</t>
  </si>
  <si>
    <t>珠海市</t>
  </si>
  <si>
    <t>建设阶段</t>
  </si>
  <si>
    <t>江门市</t>
  </si>
  <si>
    <t>350兆TETRA系统主用</t>
  </si>
  <si>
    <t>肇庆市</t>
  </si>
  <si>
    <t>惠州市</t>
  </si>
  <si>
    <t>汕头市</t>
  </si>
  <si>
    <t>与潮州互为容灾</t>
  </si>
  <si>
    <t>潮州市</t>
  </si>
  <si>
    <t>与汕头互为容灾</t>
  </si>
  <si>
    <t>揭阳市</t>
  </si>
  <si>
    <t>汕尾市</t>
  </si>
  <si>
    <t>湛江市</t>
  </si>
  <si>
    <t>清远市</t>
  </si>
  <si>
    <t>河源市</t>
  </si>
  <si>
    <t>韶关市</t>
  </si>
  <si>
    <t>云浮市</t>
  </si>
  <si>
    <t>梅州市</t>
  </si>
  <si>
    <t>茂名市</t>
  </si>
  <si>
    <t>阳江市</t>
  </si>
  <si>
    <t>新建内容</t>
  </si>
  <si>
    <t>说明</t>
  </si>
  <si>
    <t>3载波基站</t>
  </si>
  <si>
    <t>8载波基站</t>
  </si>
  <si>
    <t>把原有350兆PDT系统升级载波</t>
  </si>
  <si>
    <t>基站主设备配套</t>
  </si>
  <si>
    <t>AC/DC至数字集群设备进线单元</t>
  </si>
  <si>
    <t>RVVZ 2*4mm²（一红一蓝）</t>
  </si>
  <si>
    <t>地线排至数字集群设备进线单元</t>
  </si>
  <si>
    <t>32㎡（黄绿相间）</t>
  </si>
  <si>
    <t>数字集群设备至传输设备</t>
  </si>
  <si>
    <t>超五类网线</t>
  </si>
  <si>
    <t>馈线三点接地</t>
  </si>
  <si>
    <t>95㎡（黑色），馈线三点接地</t>
  </si>
  <si>
    <t>天馈系统</t>
  </si>
  <si>
    <t>351MHz～366MHz全向收发天线</t>
  </si>
  <si>
    <t>一个站2条</t>
  </si>
  <si>
    <t>板状天线</t>
  </si>
  <si>
    <t>351MHz～366MHz板状收发天线</t>
  </si>
  <si>
    <t>一个站3-4条</t>
  </si>
  <si>
    <t>室外馈线接地件</t>
  </si>
  <si>
    <t>7/8"馈线按三处接地</t>
  </si>
  <si>
    <t>7/8"馈线</t>
  </si>
  <si>
    <t>布放7/8"馈线</t>
  </si>
  <si>
    <t>三功分器</t>
  </si>
  <si>
    <t>二公分器</t>
  </si>
  <si>
    <t>1/2"馈线</t>
  </si>
  <si>
    <t>布放1/2"馈线</t>
  </si>
  <si>
    <t>φ50mmPVC管道</t>
  </si>
  <si>
    <t>φ50mmPVC管道，套7/8"馈线</t>
  </si>
  <si>
    <t>φ25mmPVC管道</t>
  </si>
  <si>
    <t>φ25mmPVC管道，套1/2"馈线</t>
  </si>
  <si>
    <t>6米抱杆</t>
  </si>
  <si>
    <t>按现场情况配置</t>
  </si>
  <si>
    <t>4米抱杆</t>
  </si>
  <si>
    <t>辅材</t>
  </si>
  <si>
    <t>新建一体化机柜配套</t>
  </si>
  <si>
    <t>一体化机柜</t>
  </si>
  <si>
    <t>恒温空调：1500W，镀锌钢板材料、厚度 1.5/2.0mm；含地排；≥IP65；</t>
  </si>
  <si>
    <t>32A空开</t>
  </si>
  <si>
    <t>新增空开*4</t>
  </si>
  <si>
    <t>UPS</t>
  </si>
  <si>
    <t>采用2.4KVA可满足需求</t>
  </si>
  <si>
    <t>电池</t>
  </si>
  <si>
    <t>6*12V/9Ah，一体化</t>
  </si>
  <si>
    <t>基站消防设备</t>
  </si>
  <si>
    <t>吊装简易自动灭火器</t>
  </si>
  <si>
    <t>基站市电引入</t>
  </si>
  <si>
    <t>RVV3*4mm²，外套PVC</t>
  </si>
  <si>
    <t>利旧物业新增机房配套</t>
  </si>
  <si>
    <t>机房门</t>
  </si>
  <si>
    <t>含机房门、挡鼠板、门锁</t>
  </si>
  <si>
    <t>馈线孔</t>
  </si>
  <si>
    <t>4孔，含密封胶</t>
  </si>
  <si>
    <t>照明</t>
  </si>
  <si>
    <t>利旧DC新增空开</t>
  </si>
  <si>
    <t>本期新增基站设备总功耗为1000W，采用3KVA可满足需求</t>
  </si>
  <si>
    <t>6块12V/100Ah</t>
  </si>
  <si>
    <t>配电箱</t>
  </si>
  <si>
    <t>户外金属配电控制箱 尺寸:500×600×120(mm)</t>
  </si>
  <si>
    <t>走线槽</t>
  </si>
  <si>
    <t>金属镀锌</t>
  </si>
  <si>
    <t>电源插座</t>
  </si>
  <si>
    <t>7位10A+1位16A国标插头 承载功率:Max 4000w</t>
  </si>
  <si>
    <t>电表</t>
  </si>
  <si>
    <t>10(40)A 准确度等级：1.0级 启动电流：0.004Ib</t>
  </si>
  <si>
    <t>基站专用节能空调</t>
  </si>
  <si>
    <t>5匹机房专用空调1台/站</t>
  </si>
  <si>
    <t>基站动环监控系统</t>
  </si>
  <si>
    <t>动环监控系统设备、动环系统日后的传输费用（如光纤或电话费）</t>
  </si>
  <si>
    <t>接地排</t>
  </si>
  <si>
    <t>10×60×600(mm)</t>
  </si>
  <si>
    <t>地线</t>
  </si>
  <si>
    <t>32㎡</t>
  </si>
  <si>
    <t>水平走线架（宽度400mm）</t>
  </si>
  <si>
    <t>10米</t>
  </si>
  <si>
    <t>垂直平走线架（宽度400mm）</t>
  </si>
  <si>
    <t>6米</t>
  </si>
  <si>
    <t>利旧基站或800兆机房配套</t>
  </si>
  <si>
    <t>交流单相开关</t>
  </si>
  <si>
    <t>交流单相带地插座</t>
  </si>
  <si>
    <t>二氧化碳灭火器</t>
  </si>
  <si>
    <t>地线排</t>
  </si>
  <si>
    <t>本年度绩效指标</t>
  </si>
  <si>
    <t>指标内容</t>
  </si>
  <si>
    <t>指标值（可定量、定性）</t>
  </si>
  <si>
    <t>产出指标</t>
  </si>
  <si>
    <t>数量指标</t>
  </si>
  <si>
    <t>≥48套</t>
  </si>
  <si>
    <t>≥3套</t>
  </si>
  <si>
    <t>16载波基站</t>
  </si>
  <si>
    <t>≥1套</t>
  </si>
  <si>
    <t>便携式基站</t>
  </si>
  <si>
    <t>≥72载波</t>
  </si>
  <si>
    <t>≥100套</t>
  </si>
  <si>
    <t>≥3914套</t>
  </si>
  <si>
    <t>350兆基地台</t>
  </si>
  <si>
    <t>≥86套</t>
  </si>
  <si>
    <t>≥5套</t>
  </si>
  <si>
    <t>质量指标</t>
  </si>
  <si>
    <t>交付设备质量达标率</t>
  </si>
  <si>
    <t>项目验收达标率（满足公安部、省公安厅要求）</t>
  </si>
  <si>
    <t>时效指标</t>
  </si>
  <si>
    <t>建设周期（评估方式：以项目招投标完成开始计算,完成初验验收计算）</t>
  </si>
  <si>
    <t>8个月</t>
  </si>
  <si>
    <t>成本指标</t>
  </si>
  <si>
    <t>项目成本（评估方式：结算金额与财局绩效审核金额比较）</t>
  </si>
  <si>
    <t>无超出</t>
  </si>
  <si>
    <t>效益指标</t>
  </si>
  <si>
    <t>经济效益指标</t>
  </si>
  <si>
    <t>社会效益指标</t>
  </si>
  <si>
    <t>与方针政策的符合性</t>
  </si>
  <si>
    <t>符合</t>
  </si>
  <si>
    <t>对周边企业的影响</t>
  </si>
  <si>
    <t>通过项目建设提高警务效率，提高了公共服务水平，提升了政府形象和公信力，可更好服务于群众</t>
  </si>
  <si>
    <t>生态环保效益指标</t>
  </si>
  <si>
    <t>对周围环境的影响</t>
  </si>
  <si>
    <t>本项目建设和建成之后不会对周围环境产生明显影响。</t>
  </si>
  <si>
    <t>其他</t>
  </si>
  <si>
    <t>满意度指标</t>
  </si>
  <si>
    <t>使用人员满意度</t>
  </si>
  <si>
    <t>≥80%</t>
  </si>
  <si>
    <t>其他指标</t>
  </si>
  <si>
    <t>验收后正常运维情况下设备可用年限（评估方式：综合验收后至设备报废时间）</t>
  </si>
  <si>
    <t>不少于10年</t>
  </si>
  <si>
    <t>设备质保时间（光纤、电费和塔租除外）（评估方式：各个子项目质保期时长）</t>
  </si>
  <si>
    <t>不少于3年</t>
  </si>
  <si>
    <t>镇区</t>
  </si>
  <si>
    <t>翠亨</t>
  </si>
  <si>
    <t>马鞍岛口岸客运站</t>
  </si>
  <si>
    <t>翠亨逸仙水库站</t>
  </si>
  <si>
    <t>三乡</t>
  </si>
  <si>
    <t>三乡繁星</t>
  </si>
  <si>
    <t>坦洲</t>
  </si>
  <si>
    <t>坦洲十四村</t>
  </si>
  <si>
    <t>神湾</t>
  </si>
  <si>
    <t>神湾竹排</t>
  </si>
  <si>
    <t>大涌</t>
  </si>
  <si>
    <t>大涌卓旗山</t>
  </si>
  <si>
    <t>横栏</t>
  </si>
  <si>
    <t>横栏美逸</t>
  </si>
  <si>
    <t>古镇</t>
  </si>
  <si>
    <t>古镇海洲</t>
  </si>
  <si>
    <t>南头</t>
  </si>
  <si>
    <t>南头农村银行站</t>
  </si>
  <si>
    <t>黄圃</t>
  </si>
  <si>
    <t>黄圃乌珠</t>
  </si>
  <si>
    <t>民众</t>
  </si>
  <si>
    <t>民众平三</t>
  </si>
  <si>
    <t>东区</t>
  </si>
  <si>
    <t>市局</t>
  </si>
  <si>
    <t>港口</t>
  </si>
  <si>
    <t>港口维也纳</t>
  </si>
  <si>
    <t>沙溪</t>
  </si>
  <si>
    <t>沙溪体育馆站</t>
  </si>
  <si>
    <t>小榄</t>
  </si>
  <si>
    <t>东升熊猫纪念场馆</t>
  </si>
  <si>
    <t>火炬</t>
  </si>
  <si>
    <t>火炬投资大厦站</t>
  </si>
  <si>
    <t>坦洲皇爵广场站</t>
  </si>
  <si>
    <t>古镇灯饰</t>
  </si>
  <si>
    <t>小榄海港城</t>
  </si>
  <si>
    <t>东凤</t>
  </si>
  <si>
    <t>东凤大信</t>
  </si>
  <si>
    <t>资源类型</t>
  </si>
  <si>
    <t>规格要求</t>
  </si>
  <si>
    <t>天数</t>
  </si>
  <si>
    <t>原有站点数量</t>
  </si>
  <si>
    <t>建设后站址数量</t>
  </si>
  <si>
    <t>差值</t>
  </si>
  <si>
    <t>天线</t>
  </si>
  <si>
    <t>收发天线，带1/2”馈线</t>
  </si>
  <si>
    <t>西区街道</t>
  </si>
  <si>
    <t>频谱接收仪</t>
  </si>
  <si>
    <t>带频谱分析功能，存储深度≥16GB</t>
  </si>
  <si>
    <t>东区街道</t>
  </si>
  <si>
    <t>测试车辆</t>
  </si>
  <si>
    <t>根据实际租赁车辆</t>
  </si>
  <si>
    <t>石岐区街道</t>
  </si>
  <si>
    <t>规划人员</t>
  </si>
  <si>
    <t>人</t>
  </si>
  <si>
    <t>南区街道</t>
  </si>
  <si>
    <t>测试人员</t>
  </si>
  <si>
    <t>黄圃镇</t>
  </si>
  <si>
    <t>报告编制</t>
  </si>
  <si>
    <t>五桂山</t>
  </si>
  <si>
    <t>报告审核</t>
  </si>
  <si>
    <t>沙溪镇</t>
  </si>
  <si>
    <t>出版打印费用</t>
  </si>
  <si>
    <t>神湾镇</t>
  </si>
  <si>
    <t>企业税金</t>
  </si>
  <si>
    <t>按6%计算</t>
  </si>
  <si>
    <t>南头镇</t>
  </si>
  <si>
    <t>火炬开发区</t>
  </si>
  <si>
    <t>古镇镇</t>
  </si>
  <si>
    <t>大涌镇</t>
  </si>
  <si>
    <t>工作天</t>
  </si>
  <si>
    <t>东凤镇</t>
  </si>
  <si>
    <t>频率范围350-366MHz，输出功率20W或40W</t>
  </si>
  <si>
    <t>协调厂家提供</t>
  </si>
  <si>
    <t>三乡镇</t>
  </si>
  <si>
    <t>PDT终端</t>
  </si>
  <si>
    <t>支持PDT全协议栈，北斗定位精度≤3m</t>
  </si>
  <si>
    <t>三角镇</t>
  </si>
  <si>
    <t>路测设备</t>
  </si>
  <si>
    <t>带频谱分析功能</t>
  </si>
  <si>
    <t>港口镇</t>
  </si>
  <si>
    <t>路测工具</t>
  </si>
  <si>
    <t>PDT厂家路测工具</t>
  </si>
  <si>
    <t>阜沙镇</t>
  </si>
  <si>
    <t>天线系统</t>
  </si>
  <si>
    <t>全向天线增益5dBi，定向天线15dBi</t>
  </si>
  <si>
    <t>翠亨新区</t>
  </si>
  <si>
    <t>小榄镇</t>
  </si>
  <si>
    <t>坦洲镇</t>
  </si>
  <si>
    <t>报告编制人员</t>
  </si>
  <si>
    <t>民众街道</t>
  </si>
  <si>
    <t>报告审核人</t>
  </si>
  <si>
    <t>板芙镇</t>
  </si>
  <si>
    <t>便携式基站安装</t>
  </si>
  <si>
    <t>便携式基站安装及拆除</t>
  </si>
  <si>
    <t>委托施工队</t>
  </si>
  <si>
    <t>横栏镇</t>
  </si>
  <si>
    <t>咨询人员职级</t>
  </si>
  <si>
    <t>工日费用标准（单位：元）</t>
  </si>
  <si>
    <t>高级专家</t>
  </si>
  <si>
    <t>1000－1200</t>
  </si>
  <si>
    <t>高级专业技术职称的咨询人员</t>
  </si>
  <si>
    <t>800-1000</t>
  </si>
  <si>
    <t>中级专业技术职称的咨询人员</t>
  </si>
  <si>
    <t>600-800</t>
  </si>
  <si>
    <t>模拟基站名称</t>
  </si>
  <si>
    <t>小榄熊猫纪念场馆</t>
  </si>
  <si>
    <t>阜沙大信</t>
  </si>
  <si>
    <t>小榄泰丰</t>
  </si>
  <si>
    <t>火炬开发区马鞍山基站</t>
  </si>
  <si>
    <t>石岐农行站</t>
  </si>
  <si>
    <t>三角高平</t>
  </si>
  <si>
    <t>名词/术语</t>
  </si>
  <si>
    <t>名词/术语注释</t>
  </si>
  <si>
    <t>PDT</t>
  </si>
  <si>
    <t>中国自主知识产权的警用数字集群通信标准，采用TDMA双时隙技术</t>
  </si>
  <si>
    <t>TETRA</t>
  </si>
  <si>
    <t>全球数字集群通信标准，采用TDMA四时隙技术</t>
  </si>
  <si>
    <t>时隙</t>
  </si>
  <si>
    <t>一个突发占用的基本时间单元</t>
  </si>
  <si>
    <t>发射</t>
  </si>
  <si>
    <t>突发的传送过程,发射可以是连续的,也可以是非连续的</t>
  </si>
  <si>
    <t>上行</t>
  </si>
  <si>
    <t>从移动台到基站方向的传输</t>
  </si>
  <si>
    <t>下行</t>
  </si>
  <si>
    <t>从基站到移动台方向的传输。</t>
  </si>
  <si>
    <t>物理信道</t>
  </si>
  <si>
    <t>可携带突发中比特信息的已调制射频载波</t>
  </si>
  <si>
    <t>控制信道（CCCH）</t>
  </si>
  <si>
    <t>传输系统信令的专用逻辑信道</t>
  </si>
  <si>
    <t>业务信道（TCH）</t>
  </si>
  <si>
    <t>承载语音/数据业务的时隙资源</t>
  </si>
  <si>
    <t>信道号</t>
  </si>
  <si>
    <t>无线射频信道标识号,可以根据该数值计算出规定的射频信道收发频率。</t>
  </si>
  <si>
    <t>覆盖范围</t>
  </si>
  <si>
    <t>基站能提供有效服务的地理区域范围</t>
  </si>
  <si>
    <t>集群基站</t>
  </si>
  <si>
    <t>提供集群无线接入服务的固定端基础设施</t>
  </si>
  <si>
    <t>故障弱化</t>
  </si>
  <si>
    <t>系统在发生故障时,根据故障类型,逐级降低并牺牲部分高级功能,保留基本通信业务。</t>
  </si>
  <si>
    <t>全双工通信</t>
  </si>
  <si>
    <t>支持收发信道同时工作的通信模式（如调度台）</t>
  </si>
  <si>
    <t>半双工通信</t>
  </si>
  <si>
    <t>同一时段仅支持单向收发的终端工作模式</t>
  </si>
  <si>
    <t>TDMA（时分多址）</t>
  </si>
  <si>
    <t>将12.5kHz信道分割为2个时隙的接入技术</t>
  </si>
  <si>
    <t>基站子系统（BSS）</t>
  </si>
  <si>
    <t>包含基站控制器（BSC）和基站收发信机（BTS）</t>
  </si>
  <si>
    <t>直通模式（DMO）</t>
  </si>
  <si>
    <t>脱离基站的终端间直接通信模式</t>
  </si>
  <si>
    <t>SIP信令</t>
  </si>
  <si>
    <t>会话初始协议，用于跨系统互联</t>
  </si>
  <si>
    <t>接收灵敏度</t>
  </si>
  <si>
    <t>设备可解调信号的最小电平（典型值-116dBm）</t>
  </si>
  <si>
    <t>同道干扰比（C/I）</t>
  </si>
  <si>
    <t>可接受的最小载波干扰比≥12dB</t>
  </si>
  <si>
    <t>鉴权加密（AIR）</t>
  </si>
  <si>
    <t>基于国密SM1/SM4算法的双向身份认证体系</t>
  </si>
  <si>
    <t>端到端加密（E2EE）</t>
  </si>
  <si>
    <t>业务通道的信息加密保护机制</t>
  </si>
  <si>
    <t>空口加密</t>
  </si>
  <si>
    <t>无线链路层的加密保护（支持动态密钥更新）</t>
  </si>
  <si>
    <t>空口写频</t>
  </si>
  <si>
    <t>通过无线链路对终端设备进行频率编制</t>
  </si>
  <si>
    <t>电磁兼容（EMC）</t>
  </si>
  <si>
    <t>设备抗干扰性能指标</t>
  </si>
  <si>
    <t>频率规划</t>
  </si>
  <si>
    <t>最小频率复用距离的计算模型</t>
  </si>
  <si>
    <t>谈点</t>
  </si>
  <si>
    <t>基站选址沟通协调工作</t>
  </si>
  <si>
    <t>误码率（BER）</t>
  </si>
  <si>
    <t>信号传输质量指标（门限值≤1×10⁻³）</t>
  </si>
  <si>
    <t>水平方向360°均匀辐射的天线类型（增益5-9dBi）</t>
  </si>
  <si>
    <t>窄波束高增益天线（典型65°水平波瓣）</t>
  </si>
  <si>
    <t>馈线损耗</t>
  </si>
  <si>
    <t>不同线径电缆的衰减参数</t>
  </si>
  <si>
    <t>三阶交调（IM3）</t>
  </si>
  <si>
    <t>非线性器件产生的干扰产物</t>
  </si>
  <si>
    <t>数字集群（PDT集群）</t>
  </si>
  <si>
    <t>基于TDMA技术的专业数字集群系统，符合中国公安PDT标准</t>
  </si>
  <si>
    <t>数字常规（PDT常规）</t>
  </si>
  <si>
    <t>基于PDT标准的非集群化点对点通信形态</t>
  </si>
  <si>
    <t>模拟集群（MPT1327集群）</t>
  </si>
  <si>
    <t>基于FDMA的开放标准模拟集群系统</t>
  </si>
  <si>
    <t>模拟常规</t>
  </si>
  <si>
    <t>传统模拟无线对讲工作方式</t>
  </si>
  <si>
    <t>工程活动</t>
  </si>
  <si>
    <t>安全风险点</t>
  </si>
  <si>
    <t>风险防范措施</t>
  </si>
  <si>
    <t>风险重要性</t>
  </si>
  <si>
    <t>施工全过程</t>
  </si>
  <si>
    <t>在室内或室外易燃、易爆危险作业区内施工时吸烟，易发生火灾或爆炸事故。</t>
  </si>
  <si>
    <t>在室内或室外易燃、易爆危险作业区内施工时严禁吸烟。</t>
  </si>
  <si>
    <t>一般</t>
  </si>
  <si>
    <t>户外施工全过程</t>
  </si>
  <si>
    <t>现场人员未使用安全防护用品，作业区现场未进行安全围蔽、设置安全警示设施和无专人负责指挥交通，非施工人员进入或交通事故，造成人员伤亡</t>
  </si>
  <si>
    <t>施工区域按规定进行围蔽及设置安全警示标志，并应随工作地点的变化而转移，必要时派专人指挥交通或警戒看守；施工人员要佩戴安全帽、穿反光服等防护用品。</t>
  </si>
  <si>
    <t>立杆作业</t>
  </si>
  <si>
    <t>立杆作业时人力不够、用力不均及违规操作，杆倒下压人造成人员伤亡。</t>
  </si>
  <si>
    <t>立杆前应观察地形及周围环境，根据通信杆或抱杆的粗细、长短和重量合理配置作业人员，要明确分工，专人指挥，保持协调一致，确保杆身手力均匀，避免杆断伤人。如需吊装，现场应设置安全警示区域，严格按起重施工规范操作。</t>
  </si>
  <si>
    <t>利用现有杆体布放线缆、安装设备</t>
  </si>
  <si>
    <t>利用其他项目杆体、管道等设施布放电缆和网络线缆，未经业主单位同意完工后被剪断，造成设备传输中断；施工作业压（拉）断或损伤现有通信杆电缆、设备造成传输中断。</t>
  </si>
  <si>
    <t>承建单位应事先向建设单位申请通信杆共杆或管道等设施的共享并经同意；施工前预先通知负责人；施工时要注意对其它承建单位电缆/设备进行保护，施工时监理人员或维护人员在场监督</t>
  </si>
  <si>
    <t>利用现有建筑物布放线缆、安装设备</t>
  </si>
  <si>
    <t>支架、线缆和设备的安装可能对建筑物结构造成影响，如钻孔、打钉、吊装等操作可能导致结构受损或承重不平衡，存在建筑物倒塌、墙皮脱落等风险</t>
  </si>
  <si>
    <t>在进行支架、线缆和设备的安装前，应对建筑物结构进行评估和检测，确保安装操作不会对结构造成损害。在安装过程中，应避免钻孔、打钉、吊装等操作对结构造成影响，如必须进行这些操作时，应采取相应的保护措施，如使用膨胀螺栓、承重支架等。</t>
  </si>
  <si>
    <t>重要</t>
  </si>
  <si>
    <t>杆上作业</t>
  </si>
  <si>
    <t>在通信杆上作业时，容易发生通信杆倾倒、触电等事故。</t>
  </si>
  <si>
    <t>上杆前必须检查通信杆部是否牢固，如发现危险通信杆时，必须用临时拉线或撑杆支稳妥后，才可上杆作业；上杆后，必须用试电笔检查通信杆上附挂的线缆、吊线、拉线，确认相关设施处于非带电的安全状态。</t>
  </si>
  <si>
    <t>高空作业</t>
  </si>
  <si>
    <t>高空作业未按照要求使用安全防护用品及做好防滑措施，操作人员违规操作，导致人员触电、受重物打击、高处坠落等，造成人员伤亡。</t>
  </si>
  <si>
    <t>作业前检查梯子及安全装置的性能是否完好和齐备，作业人员必须佩戴安全帽，穿防滑鞋，使用安全带和绝缘工具，高空作业时做好防滑措施及设置监护区域和专人监护，专人扶梯；高处作业前，先用试电笔测试线路、设备及金属支撑物（如支架、横臂)是否带电，确认没有带电后再作业。</t>
  </si>
  <si>
    <t>线缆带电、雨季和潮湿环境下带电作业等其他高空作业发生触电伤害，或在雷雨中进行高空作业，遭遇雷击伤害。</t>
  </si>
  <si>
    <t>高空作业时，必须先测试线缆和其它易导电设施是否带电，确保安全才能施工；雷雨天气高空作业时，遇上打雷应立即停止作业，马上应到安全地点躲避，等雷电消除后方可继续施工。</t>
  </si>
  <si>
    <t>高空作业没有设置监护区域或无人监护，安全防护设施有缺陷或未正确使用，造成人员坠落伤亡或物体掉落击倒人员致伤亡。</t>
  </si>
  <si>
    <t>高空作业应设置安全标志和监护区域，专人监护；操作人员应配备安全防护装备，登高前对安全装备、支撑设施、工具及现有线缆和设备做好检查和安全防护，高处作业人员必须持有登高特种作业证。</t>
  </si>
  <si>
    <t>野外作业</t>
  </si>
  <si>
    <t>在野外、山上、草丛等环境作业时易受到毒蛇、毒虫、毒蜂或其他猛兽的攻击而造成人员伤亡。</t>
  </si>
  <si>
    <t>施工前采用木棍、镰刀等辅助工具对草丛、树林等环境做好勘查和清理，并配备防蛇虫叮咬的药物，如遇上毒蛇、毒虫、毒蜂或其他猛兽的攻击应立即停止作业，应到安全地点躲避，等确认安全后方可继续施工。</t>
  </si>
  <si>
    <t>机房内作业</t>
  </si>
  <si>
    <t>在机房内接近重要业务操作系统或接近核心网络设备等，因靠近重要系统作业（并非直接对重要系统作业），导致重要系统中断。</t>
  </si>
  <si>
    <t>施工过程中避免接近其它重要业务操作系统，不可避免时应告知相应的维护管理人员，并做好系统保护。</t>
  </si>
  <si>
    <t>机房设备超重安装</t>
  </si>
  <si>
    <t>设备超重，支撑设备的楼板或基础的荷载不足，引发建筑垮塌，导致通信阻断；</t>
  </si>
  <si>
    <t>设备重量超过机房承重，应事先做楼板承重评估，并按评估结果做加固预防措施。对于无法满足的机房，应考虑另外选址。</t>
  </si>
  <si>
    <t>设备安装不核实电源负荷</t>
  </si>
  <si>
    <t>设备的安装质量直接影响现有电力系统的安全和稳定，如设备安装不规范、连接不牢固等，可能造成电力事故。</t>
  </si>
  <si>
    <t>核实机房设备用电负载率、引电主线缆线径核准机房用电负载设备是否满足大功率设备使用需求，避免发生机房整体跳闸、设备过热导致触电、火灾等事故</t>
  </si>
  <si>
    <t>拆旧作业</t>
  </si>
  <si>
    <t>拆旧作业误操作或未经确认，剪断在用缆线。</t>
  </si>
  <si>
    <t>拆除原有线缆、设备前做好资料核对工作，核实线缆和设备是否在用，将需拆除的线缆、设备清单提交相关管理维护部门审批，对要拆除的相关线缆、设备做好标识，待维护部门确认后方可操作；拆除过程需监理人员或维护人员在场监督。</t>
  </si>
  <si>
    <t>重要通信机房内违章施工；在重要通信机房内进行无线网设备安装，因操作失误引起重要系统瘫痪</t>
  </si>
  <si>
    <t>施工前需组织各部门进行施工方案会审，严格遵守通信机房的施工操作规范，严格遵守通信机房的用电要求，在监理的监督下进行施工</t>
  </si>
  <si>
    <t>搬运作业</t>
  </si>
  <si>
    <t>项目施工地点较多，室外点施工时需要使用吊车等机械，存在起重吊物、设备搬运操作不当，导致物体打击伤害</t>
  </si>
  <si>
    <t>运输设备、材料途中禁止人货混装；防止起重吊物、设备搬运操作不当，导致物体打击伤害</t>
  </si>
  <si>
    <t>布放各类线缆</t>
  </si>
  <si>
    <t>电源线裸露，未做好绝缘和防护导致碰触电源带电部位</t>
  </si>
  <si>
    <t>按章操作，按施工、验收规范施工，施工前要对施工人员反复强调施工规范</t>
  </si>
  <si>
    <t>布放缆线路由经过其他系统；施工作业踩（拉）断邻近电缆、光纤造成供电或系统中断</t>
  </si>
  <si>
    <t>按施工规范进行操作，做好不同系统的防护，严禁交流、直流、信号线交叉</t>
  </si>
  <si>
    <t>设备安装作业</t>
  </si>
  <si>
    <t>设备接电、接地错误；不检查电源极性及相位；送电前不检查极性及相位导致短路或错相</t>
  </si>
  <si>
    <t>施工中设备加电前应检查极性及相位，并记录在案。</t>
  </si>
  <si>
    <t>插拔电路板未戴防静电手腕,损坏设备造成通信中断</t>
  </si>
  <si>
    <t>严格按操作规程，佩戴防静电手腕拔插板卡</t>
  </si>
  <si>
    <t>违章关停开设备，未经许可启动、关停、拆除、移动设备，导致系统中断</t>
  </si>
  <si>
    <t>机房内设备关停开，应报备管理维护人员，或批准后方能进行。</t>
  </si>
  <si>
    <t>终端、板卡安装错误</t>
  </si>
  <si>
    <t>主设备终端及板卡安装应在原厂家督导下进行，配套设备终端及板卡安装应严格遵守设备安装操作指导说明书进行。</t>
  </si>
  <si>
    <t>铁塔高空坠物，塔上使用的所有可能滑落的器具，比如暂不使用的塔上的工具、金属安装件等物体容易掉落，造成塔下人员伤亡</t>
  </si>
  <si>
    <t>高空作业应设置安全标志和监护区域，操作人员应配备安全防护装备；增强安全施工意识，杜绝违章操作</t>
  </si>
  <si>
    <t>临边作业</t>
  </si>
  <si>
    <t>楼顶没有围栏或围栏不牢固导致人员坠落</t>
  </si>
  <si>
    <t>如楼顶没有围栏或围栏不牢固时，应在楼顶距边缘1.5m的作业范围内设置警戒线，警戒线高1m为宜，防止施工人员靠近楼顶边缘。</t>
  </si>
  <si>
    <t>有限空间作业</t>
  </si>
  <si>
    <t>在密闭或狭小空间进行作业导致中毒窒息</t>
  </si>
  <si>
    <t>必须严格实行作业审批制度，严禁擅自进入有限空间作业；必须做到"先通风、再检测、后作业"，严禁通风、检测不合格作业；必须配备个人防中毒窒息等防护装备，设置安全警示标识，严禁无防护监护措施作业；必须制定应急措施，现场配备应急装备，严禁盲目施救。</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</si>
</sst>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 numFmtId="177" formatCode="0.00_ "/>
    <numFmt numFmtId="178" formatCode="0.0000_ "/>
    <numFmt numFmtId="179" formatCode="#,##0.000"/>
    <numFmt numFmtId="180" formatCode="0.000_ "/>
  </numFmts>
  <fonts count="75">
    <font>
      <sz val="11"/>
      <color theme="1"/>
      <name val="宋体"/>
      <charset val="134"/>
      <scheme val="minor"/>
    </font>
    <font>
      <sz val="10"/>
      <color theme="1"/>
      <name val="宋体"/>
      <charset val="134"/>
      <scheme val="minor"/>
    </font>
    <font>
      <b/>
      <sz val="10"/>
      <color theme="1"/>
      <name val="宋体"/>
      <charset val="134"/>
    </font>
    <font>
      <sz val="10"/>
      <color theme="1"/>
      <name val="宋体"/>
      <charset val="134"/>
    </font>
    <font>
      <sz val="10"/>
      <name val="宋体"/>
      <charset val="134"/>
    </font>
    <font>
      <b/>
      <sz val="10.5"/>
      <color rgb="FF000000"/>
      <name val="宋体"/>
      <charset val="134"/>
    </font>
    <font>
      <sz val="10.5"/>
      <color theme="1"/>
      <name val="宋体"/>
      <charset val="134"/>
    </font>
    <font>
      <sz val="10.5"/>
      <color rgb="FF374151"/>
      <name val="微软雅黑"/>
      <charset val="134"/>
    </font>
    <font>
      <sz val="10.5"/>
      <color theme="1"/>
      <name val="Times New Roman"/>
      <charset val="134"/>
    </font>
    <font>
      <sz val="10.5"/>
      <color rgb="FF000000"/>
      <name val="宋体"/>
      <charset val="134"/>
    </font>
    <font>
      <sz val="10.5"/>
      <name val="宋体"/>
      <charset val="134"/>
    </font>
    <font>
      <b/>
      <sz val="11"/>
      <color rgb="FF000000"/>
      <name val="宋体"/>
      <charset val="134"/>
    </font>
    <font>
      <b/>
      <sz val="12"/>
      <color rgb="FF000000"/>
      <name val="宋体"/>
      <charset val="134"/>
    </font>
    <font>
      <sz val="11"/>
      <color rgb="FF000000"/>
      <name val="宋体"/>
      <charset val="134"/>
    </font>
    <font>
      <sz val="11"/>
      <color rgb="FF000000"/>
      <name val="等线"/>
      <charset val="134"/>
    </font>
    <font>
      <sz val="12"/>
      <color rgb="FF000000"/>
      <name val="宋体"/>
      <charset val="134"/>
    </font>
    <font>
      <b/>
      <sz val="12"/>
      <color theme="1"/>
      <name val="宋体"/>
      <charset val="134"/>
    </font>
    <font>
      <sz val="12"/>
      <color theme="0"/>
      <name val="宋体"/>
      <charset val="134"/>
    </font>
    <font>
      <sz val="11"/>
      <color rgb="FFFFFFFF"/>
      <name val="等线"/>
      <charset val="134"/>
    </font>
    <font>
      <b/>
      <sz val="9"/>
      <color rgb="FF000000"/>
      <name val="宋体"/>
      <charset val="134"/>
    </font>
    <font>
      <b/>
      <sz val="10.5"/>
      <name val="宋体"/>
      <charset val="134"/>
    </font>
    <font>
      <b/>
      <sz val="10"/>
      <color rgb="FF000000"/>
      <name val="宋体"/>
      <charset val="134"/>
    </font>
    <font>
      <sz val="10"/>
      <color rgb="FF000000"/>
      <name val="宋体"/>
      <charset val="134"/>
    </font>
    <font>
      <sz val="10"/>
      <color theme="1"/>
      <name val="Times New Roman"/>
      <charset val="134"/>
    </font>
    <font>
      <sz val="10.5"/>
      <color rgb="FF000000"/>
      <name val="Times New Roman"/>
      <charset val="134"/>
    </font>
    <font>
      <sz val="10.5"/>
      <color rgb="FFFF0000"/>
      <name val="宋体"/>
      <charset val="134"/>
    </font>
    <font>
      <sz val="10.5"/>
      <color rgb="FFFF0000"/>
      <name val="仿宋"/>
      <charset val="134"/>
    </font>
    <font>
      <sz val="10.5"/>
      <color rgb="FF000000"/>
      <name val="仿宋"/>
      <charset val="134"/>
    </font>
    <font>
      <b/>
      <sz val="10.5"/>
      <color rgb="FF000000"/>
      <name val="仿宋"/>
      <charset val="134"/>
    </font>
    <font>
      <b/>
      <sz val="10.5"/>
      <color rgb="FFFF0000"/>
      <name val="仿宋"/>
      <charset val="134"/>
    </font>
    <font>
      <sz val="10.5"/>
      <color rgb="FF000000"/>
      <name val="Calibri"/>
      <charset val="134"/>
    </font>
    <font>
      <b/>
      <sz val="10"/>
      <name val="宋体"/>
      <charset val="134"/>
    </font>
    <font>
      <b/>
      <sz val="11"/>
      <color theme="1"/>
      <name val="宋体"/>
      <charset val="134"/>
      <scheme val="minor"/>
    </font>
    <font>
      <sz val="11"/>
      <name val="Times New Roman"/>
      <charset val="134"/>
    </font>
    <font>
      <b/>
      <sz val="10.5"/>
      <color theme="1"/>
      <name val="宋体"/>
      <charset val="134"/>
    </font>
    <font>
      <b/>
      <sz val="10"/>
      <color rgb="FF000000"/>
      <name val="宋体"/>
      <charset val="134"/>
      <scheme val="minor"/>
    </font>
    <font>
      <b/>
      <sz val="10"/>
      <color theme="1"/>
      <name val="宋体"/>
      <charset val="134"/>
      <scheme val="minor"/>
    </font>
    <font>
      <b/>
      <sz val="8"/>
      <color theme="1"/>
      <name val="宋体"/>
      <charset val="134"/>
      <scheme val="minor"/>
    </font>
    <font>
      <sz val="9"/>
      <color theme="1"/>
      <name val="宋体"/>
      <charset val="134"/>
      <scheme val="minor"/>
    </font>
    <font>
      <sz val="9"/>
      <color theme="1"/>
      <name val="宋体"/>
      <charset val="134"/>
    </font>
    <font>
      <sz val="9"/>
      <color rgb="FF000000"/>
      <name val="宋体"/>
      <charset val="134"/>
    </font>
    <font>
      <sz val="10"/>
      <color rgb="FF000000"/>
      <name val="Times New Roman"/>
      <charset val="134"/>
    </font>
    <font>
      <sz val="10"/>
      <color rgb="FFFF0000"/>
      <name val="宋体"/>
      <charset val="134"/>
      <scheme val="minor"/>
    </font>
    <font>
      <sz val="11"/>
      <color theme="1"/>
      <name val="宋体"/>
      <charset val="134"/>
    </font>
    <font>
      <sz val="11"/>
      <color rgb="FF000000"/>
      <name val="Times New Roman"/>
      <charset val="134"/>
    </font>
    <font>
      <sz val="11"/>
      <color theme="1"/>
      <name val="Times New Roman"/>
      <charset val="134"/>
    </font>
    <font>
      <b/>
      <sz val="16"/>
      <color theme="1"/>
      <name val="宋体"/>
      <charset val="134"/>
      <scheme val="minor"/>
    </font>
    <font>
      <sz val="10"/>
      <name val="宋体"/>
      <charset val="134"/>
      <scheme val="minor"/>
    </font>
    <font>
      <b/>
      <sz val="9"/>
      <name val="宋体"/>
      <charset val="134"/>
    </font>
    <font>
      <sz val="11"/>
      <color rgb="FFFF0000"/>
      <name val="宋体"/>
      <charset val="134"/>
      <scheme val="minor"/>
    </font>
    <font>
      <sz val="10"/>
      <color rgb="FFFF0000"/>
      <name val="宋体"/>
      <charset val="134"/>
    </font>
    <font>
      <b/>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
      <b/>
      <sz val="10.5"/>
      <color rgb="FF000000"/>
      <name val="Calibri"/>
      <charset val="134"/>
    </font>
  </fonts>
  <fills count="36">
    <fill>
      <patternFill patternType="none"/>
    </fill>
    <fill>
      <patternFill patternType="gray125"/>
    </fill>
    <fill>
      <patternFill patternType="solid">
        <fgColor theme="9" tint="0.799981688894314"/>
        <bgColor indexed="64"/>
      </patternFill>
    </fill>
    <fill>
      <patternFill patternType="solid">
        <fgColor rgb="FFE2EFDA"/>
        <bgColor indexed="64"/>
      </patternFill>
    </fill>
    <fill>
      <patternFill patternType="solid">
        <fgColor theme="0" tint="-0.0499893185216834"/>
        <bgColor indexed="64"/>
      </patternFill>
    </fill>
    <fill>
      <patternFill patternType="solid">
        <fgColor theme="4" tint="0.8"/>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rgb="FF000000"/>
      </left>
      <right style="medium">
        <color rgb="FF000000"/>
      </right>
      <top style="medium">
        <color rgb="FF000000"/>
      </top>
      <bottom style="medium">
        <color rgb="FF000000"/>
      </bottom>
      <diagonal/>
    </border>
    <border>
      <left style="medium">
        <color theme="1"/>
      </left>
      <right style="medium">
        <color theme="1"/>
      </right>
      <top style="medium">
        <color theme="1"/>
      </top>
      <bottom style="medium">
        <color theme="1"/>
      </bottom>
      <diagonal/>
    </border>
    <border>
      <left style="medium">
        <color rgb="FF000000"/>
      </left>
      <right style="medium">
        <color rgb="FF000000"/>
      </right>
      <top/>
      <bottom style="medium">
        <color rgb="FF000000"/>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7" borderId="19"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20" applyNumberFormat="0" applyFill="0" applyAlignment="0" applyProtection="0">
      <alignment vertical="center"/>
    </xf>
    <xf numFmtId="0" fontId="59" fillId="0" borderId="20" applyNumberFormat="0" applyFill="0" applyAlignment="0" applyProtection="0">
      <alignment vertical="center"/>
    </xf>
    <xf numFmtId="0" fontId="60" fillId="0" borderId="21" applyNumberFormat="0" applyFill="0" applyAlignment="0" applyProtection="0">
      <alignment vertical="center"/>
    </xf>
    <xf numFmtId="0" fontId="60" fillId="0" borderId="0" applyNumberFormat="0" applyFill="0" applyBorder="0" applyAlignment="0" applyProtection="0">
      <alignment vertical="center"/>
    </xf>
    <xf numFmtId="0" fontId="61" fillId="8" borderId="22" applyNumberFormat="0" applyAlignment="0" applyProtection="0">
      <alignment vertical="center"/>
    </xf>
    <xf numFmtId="0" fontId="62" fillId="9" borderId="23" applyNumberFormat="0" applyAlignment="0" applyProtection="0">
      <alignment vertical="center"/>
    </xf>
    <xf numFmtId="0" fontId="63" fillId="9" borderId="22" applyNumberFormat="0" applyAlignment="0" applyProtection="0">
      <alignment vertical="center"/>
    </xf>
    <xf numFmtId="0" fontId="64" fillId="10" borderId="24" applyNumberFormat="0" applyAlignment="0" applyProtection="0">
      <alignment vertical="center"/>
    </xf>
    <xf numFmtId="0" fontId="65" fillId="0" borderId="25" applyNumberFormat="0" applyFill="0" applyAlignment="0" applyProtection="0">
      <alignment vertical="center"/>
    </xf>
    <xf numFmtId="0" fontId="66" fillId="0" borderId="26" applyNumberFormat="0" applyFill="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9" fillId="13" borderId="0" applyNumberFormat="0" applyBorder="0" applyAlignment="0" applyProtection="0">
      <alignment vertical="center"/>
    </xf>
    <xf numFmtId="0" fontId="70" fillId="14" borderId="0" applyNumberFormat="0" applyBorder="0" applyAlignment="0" applyProtection="0">
      <alignment vertical="center"/>
    </xf>
    <xf numFmtId="0" fontId="71" fillId="6" borderId="0" applyNumberFormat="0" applyBorder="0" applyAlignment="0" applyProtection="0">
      <alignment vertical="center"/>
    </xf>
    <xf numFmtId="0" fontId="71" fillId="15" borderId="0" applyNumberFormat="0" applyBorder="0" applyAlignment="0" applyProtection="0">
      <alignment vertical="center"/>
    </xf>
    <xf numFmtId="0" fontId="70" fillId="16" borderId="0" applyNumberFormat="0" applyBorder="0" applyAlignment="0" applyProtection="0">
      <alignment vertical="center"/>
    </xf>
    <xf numFmtId="0" fontId="70" fillId="17" borderId="0" applyNumberFormat="0" applyBorder="0" applyAlignment="0" applyProtection="0">
      <alignment vertical="center"/>
    </xf>
    <xf numFmtId="0" fontId="71" fillId="18" borderId="0" applyNumberFormat="0" applyBorder="0" applyAlignment="0" applyProtection="0">
      <alignment vertical="center"/>
    </xf>
    <xf numFmtId="0" fontId="71" fillId="19" borderId="0" applyNumberFormat="0" applyBorder="0" applyAlignment="0" applyProtection="0">
      <alignment vertical="center"/>
    </xf>
    <xf numFmtId="0" fontId="70" fillId="20" borderId="0" applyNumberFormat="0" applyBorder="0" applyAlignment="0" applyProtection="0">
      <alignment vertical="center"/>
    </xf>
    <xf numFmtId="0" fontId="70" fillId="21" borderId="0" applyNumberFormat="0" applyBorder="0" applyAlignment="0" applyProtection="0">
      <alignment vertical="center"/>
    </xf>
    <xf numFmtId="0" fontId="71" fillId="22" borderId="0" applyNumberFormat="0" applyBorder="0" applyAlignment="0" applyProtection="0">
      <alignment vertical="center"/>
    </xf>
    <xf numFmtId="0" fontId="71" fillId="23" borderId="0" applyNumberFormat="0" applyBorder="0" applyAlignment="0" applyProtection="0">
      <alignment vertical="center"/>
    </xf>
    <xf numFmtId="0" fontId="70" fillId="24" borderId="0" applyNumberFormat="0" applyBorder="0" applyAlignment="0" applyProtection="0">
      <alignment vertical="center"/>
    </xf>
    <xf numFmtId="0" fontId="70" fillId="25" borderId="0" applyNumberFormat="0" applyBorder="0" applyAlignment="0" applyProtection="0">
      <alignment vertical="center"/>
    </xf>
    <xf numFmtId="0" fontId="71" fillId="26" borderId="0" applyNumberFormat="0" applyBorder="0" applyAlignment="0" applyProtection="0">
      <alignment vertical="center"/>
    </xf>
    <xf numFmtId="0" fontId="71"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71" fillId="30" borderId="0" applyNumberFormat="0" applyBorder="0" applyAlignment="0" applyProtection="0">
      <alignment vertical="center"/>
    </xf>
    <xf numFmtId="0" fontId="71" fillId="31" borderId="0" applyNumberFormat="0" applyBorder="0" applyAlignment="0" applyProtection="0">
      <alignment vertical="center"/>
    </xf>
    <xf numFmtId="0" fontId="70" fillId="32" borderId="0" applyNumberFormat="0" applyBorder="0" applyAlignment="0" applyProtection="0">
      <alignment vertical="center"/>
    </xf>
    <xf numFmtId="0" fontId="70" fillId="33" borderId="0" applyNumberFormat="0" applyBorder="0" applyAlignment="0" applyProtection="0">
      <alignment vertical="center"/>
    </xf>
    <xf numFmtId="0" fontId="71" fillId="2" borderId="0" applyNumberFormat="0" applyBorder="0" applyAlignment="0" applyProtection="0">
      <alignment vertical="center"/>
    </xf>
    <xf numFmtId="0" fontId="71" fillId="34" borderId="0" applyNumberFormat="0" applyBorder="0" applyAlignment="0" applyProtection="0">
      <alignment vertical="center"/>
    </xf>
    <xf numFmtId="0" fontId="70" fillId="35" borderId="0" applyNumberFormat="0" applyBorder="0" applyAlignment="0" applyProtection="0">
      <alignment vertical="center"/>
    </xf>
    <xf numFmtId="0" fontId="0" fillId="0" borderId="0">
      <alignment vertical="center"/>
    </xf>
    <xf numFmtId="0" fontId="0" fillId="0" borderId="0">
      <alignment vertical="center"/>
    </xf>
    <xf numFmtId="0" fontId="72" fillId="0" borderId="0">
      <alignment vertical="center"/>
    </xf>
    <xf numFmtId="0" fontId="0" fillId="0" borderId="0"/>
    <xf numFmtId="0" fontId="0" fillId="0" borderId="0">
      <alignment vertical="center"/>
    </xf>
    <xf numFmtId="0" fontId="0" fillId="0" borderId="0">
      <alignment vertical="center"/>
    </xf>
    <xf numFmtId="0" fontId="72" fillId="0" borderId="0">
      <alignment vertical="center"/>
    </xf>
  </cellStyleXfs>
  <cellXfs count="26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3" fillId="0" borderId="1" xfId="55" applyFont="1" applyBorder="1" applyAlignment="1">
      <alignment horizontal="left" vertical="center" wrapText="1"/>
    </xf>
    <xf numFmtId="0" fontId="4" fillId="0" borderId="1" xfId="55" applyFont="1" applyBorder="1" applyAlignment="1">
      <alignment horizontal="center" vertical="center" wrapText="1"/>
    </xf>
    <xf numFmtId="0" fontId="4" fillId="0" borderId="1" xfId="55" applyFont="1" applyBorder="1" applyAlignment="1">
      <alignment horizontal="left" vertical="center" wrapText="1"/>
    </xf>
    <xf numFmtId="0" fontId="5" fillId="0" borderId="1" xfId="0" applyFont="1" applyBorder="1" applyAlignment="1">
      <alignment horizontal="center" vertical="center"/>
    </xf>
    <xf numFmtId="0" fontId="0" fillId="0" borderId="1" xfId="0" applyBorder="1">
      <alignment vertical="center"/>
    </xf>
    <xf numFmtId="0" fontId="6" fillId="0" borderId="1" xfId="0" applyFont="1" applyBorder="1" applyAlignment="1">
      <alignment horizontal="justify" vertical="center"/>
    </xf>
    <xf numFmtId="0" fontId="7" fillId="0" borderId="1" xfId="0" applyFont="1" applyBorder="1">
      <alignment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xf>
    <xf numFmtId="0" fontId="12" fillId="0" borderId="1" xfId="0" applyFont="1" applyBorder="1" applyAlignment="1">
      <alignment horizontal="left" vertical="center" wrapText="1"/>
    </xf>
    <xf numFmtId="0" fontId="15" fillId="0" borderId="3" xfId="0" applyFont="1" applyBorder="1" applyAlignment="1">
      <alignment horizontal="left" vertical="center" wrapText="1"/>
    </xf>
    <xf numFmtId="0" fontId="16" fillId="0" borderId="4" xfId="0" applyFont="1" applyBorder="1" applyAlignment="1">
      <alignment horizontal="center" vertical="center" wrapText="1"/>
    </xf>
    <xf numFmtId="0" fontId="15" fillId="0" borderId="4" xfId="0" applyFont="1" applyBorder="1" applyAlignment="1">
      <alignment horizontal="left" vertical="center" wrapText="1"/>
    </xf>
    <xf numFmtId="0" fontId="12" fillId="0" borderId="5" xfId="0" applyFont="1" applyBorder="1" applyAlignment="1">
      <alignment horizontal="center" vertical="center" wrapText="1"/>
    </xf>
    <xf numFmtId="0" fontId="13" fillId="0" borderId="3" xfId="0" applyFont="1" applyBorder="1" applyAlignment="1">
      <alignment horizontal="left" vertical="center" wrapText="1"/>
    </xf>
    <xf numFmtId="0" fontId="15" fillId="0" borderId="6" xfId="0" applyFont="1" applyBorder="1" applyAlignment="1">
      <alignment horizontal="center" vertical="center" wrapText="1"/>
    </xf>
    <xf numFmtId="4" fontId="15" fillId="0" borderId="6" xfId="0" applyNumberFormat="1" applyFont="1" applyBorder="1" applyAlignment="1">
      <alignment horizontal="right" vertical="center" wrapText="1"/>
    </xf>
    <xf numFmtId="4" fontId="15" fillId="0" borderId="7" xfId="0" applyNumberFormat="1" applyFont="1" applyBorder="1" applyAlignment="1">
      <alignment horizontal="right" vertical="center" wrapText="1"/>
    </xf>
    <xf numFmtId="0" fontId="15" fillId="0" borderId="7" xfId="0" applyFont="1" applyBorder="1" applyAlignment="1">
      <alignment horizontal="center" vertical="center" wrapText="1"/>
    </xf>
    <xf numFmtId="0" fontId="13" fillId="0" borderId="7" xfId="0" applyFont="1" applyBorder="1" applyAlignment="1">
      <alignment horizontal="left" vertical="center" wrapText="1"/>
    </xf>
    <xf numFmtId="0" fontId="15" fillId="0" borderId="7" xfId="0" applyFont="1" applyBorder="1" applyAlignment="1">
      <alignment horizontal="left" vertical="center" wrapText="1"/>
    </xf>
    <xf numFmtId="0" fontId="17" fillId="0" borderId="7" xfId="0" applyFont="1" applyBorder="1" applyAlignment="1">
      <alignment horizontal="center" vertical="center" wrapText="1"/>
    </xf>
    <xf numFmtId="0" fontId="12" fillId="0" borderId="5" xfId="0" applyFont="1" applyBorder="1" applyAlignment="1">
      <alignment horizontal="left" vertical="center" wrapText="1"/>
    </xf>
    <xf numFmtId="4" fontId="15" fillId="0" borderId="7" xfId="0" applyNumberFormat="1" applyFont="1" applyBorder="1" applyAlignment="1">
      <alignment horizontal="center" vertical="center" wrapText="1"/>
    </xf>
    <xf numFmtId="0" fontId="18" fillId="0" borderId="7" xfId="0" applyFont="1" applyBorder="1" applyAlignment="1">
      <alignment horizontal="right"/>
    </xf>
    <xf numFmtId="0" fontId="0" fillId="0" borderId="7" xfId="0" applyBorder="1">
      <alignment vertical="center"/>
    </xf>
    <xf numFmtId="0" fontId="19" fillId="0" borderId="1" xfId="0" applyFont="1" applyBorder="1" applyAlignment="1">
      <alignment horizontal="center" vertical="center"/>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xf>
    <xf numFmtId="0" fontId="20" fillId="0" borderId="8" xfId="0" applyFont="1" applyBorder="1" applyAlignment="1">
      <alignment horizontal="center" vertical="center" wrapText="1"/>
    </xf>
    <xf numFmtId="0" fontId="4" fillId="0" borderId="8" xfId="0"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8"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justify" vertical="center" indent="2"/>
    </xf>
    <xf numFmtId="9" fontId="4" fillId="0" borderId="8" xfId="0" applyNumberFormat="1" applyFont="1" applyBorder="1" applyAlignment="1">
      <alignment horizontal="center" vertical="center"/>
    </xf>
    <xf numFmtId="0" fontId="21" fillId="0" borderId="2" xfId="0" applyFont="1" applyBorder="1" applyAlignment="1">
      <alignment horizontal="center" vertical="center"/>
    </xf>
    <xf numFmtId="0" fontId="2" fillId="0" borderId="2" xfId="0" applyFont="1" applyBorder="1" applyAlignment="1">
      <alignment horizontal="center" vertical="center"/>
    </xf>
    <xf numFmtId="0" fontId="21" fillId="2" borderId="2" xfId="0" applyFont="1" applyFill="1" applyBorder="1" applyAlignment="1">
      <alignment horizontal="center" vertical="center"/>
    </xf>
    <xf numFmtId="0" fontId="22" fillId="0" borderId="2" xfId="0" applyFont="1" applyBorder="1" applyAlignment="1">
      <alignment horizontal="center" vertical="center"/>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22" fillId="0" borderId="2" xfId="0" applyFont="1" applyBorder="1" applyAlignment="1">
      <alignment horizontal="center" vertical="center" wrapText="1"/>
    </xf>
    <xf numFmtId="0" fontId="21" fillId="2" borderId="2" xfId="0" applyFont="1" applyFill="1" applyBorder="1" applyAlignment="1">
      <alignment horizontal="center" vertical="center" wrapText="1"/>
    </xf>
    <xf numFmtId="0" fontId="23" fillId="0" borderId="2" xfId="0" applyFont="1" applyBorder="1" applyAlignment="1">
      <alignment horizontal="center" vertical="center"/>
    </xf>
    <xf numFmtId="0" fontId="24"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25" fillId="0" borderId="5" xfId="0" applyFont="1" applyBorder="1" applyAlignment="1">
      <alignment horizontal="center" vertical="center" wrapText="1"/>
    </xf>
    <xf numFmtId="0" fontId="13" fillId="0" borderId="3" xfId="0" applyFont="1" applyBorder="1" applyAlignment="1">
      <alignment horizontal="center" vertical="center"/>
    </xf>
    <xf numFmtId="0" fontId="26"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29" fillId="0" borderId="5" xfId="0" applyFont="1" applyBorder="1" applyAlignment="1">
      <alignment horizontal="center" vertical="center" wrapText="1"/>
    </xf>
    <xf numFmtId="0" fontId="9" fillId="0" borderId="5" xfId="0" applyFont="1" applyBorder="1" applyAlignment="1">
      <alignment horizontal="justify" vertical="center" wrapText="1"/>
    </xf>
    <xf numFmtId="177" fontId="0" fillId="0" borderId="1" xfId="0" applyNumberFormat="1" applyBorder="1">
      <alignment vertical="center"/>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178" fontId="30" fillId="0" borderId="7"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23" fillId="0" borderId="4" xfId="0" applyFont="1" applyBorder="1" applyAlignment="1">
      <alignment horizontal="left" vertical="center" wrapText="1"/>
    </xf>
    <xf numFmtId="0" fontId="3" fillId="0" borderId="4" xfId="0" applyFont="1" applyBorder="1" applyAlignment="1">
      <alignment horizontal="left" vertical="center" wrapText="1"/>
    </xf>
    <xf numFmtId="0" fontId="1" fillId="0" borderId="4" xfId="0" applyFont="1" applyBorder="1">
      <alignment vertical="center"/>
    </xf>
    <xf numFmtId="177" fontId="4" fillId="0" borderId="12" xfId="0" applyNumberFormat="1" applyFont="1" applyBorder="1" applyAlignment="1">
      <alignment horizontal="center" vertical="center" wrapText="1"/>
    </xf>
    <xf numFmtId="0" fontId="31" fillId="0" borderId="13" xfId="0" applyFont="1" applyBorder="1" applyAlignment="1">
      <alignment horizontal="center" vertical="center" wrapText="1"/>
    </xf>
    <xf numFmtId="0" fontId="31"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4" fontId="4" fillId="0" borderId="12" xfId="0" applyNumberFormat="1" applyFont="1" applyBorder="1" applyAlignment="1">
      <alignment horizontal="right" vertical="center" wrapText="1"/>
    </xf>
    <xf numFmtId="0" fontId="32"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vertical="center" wrapText="1"/>
    </xf>
    <xf numFmtId="177" fontId="0" fillId="0" borderId="12" xfId="0" applyNumberFormat="1" applyBorder="1" applyAlignment="1">
      <alignment horizontal="center" vertical="center"/>
    </xf>
    <xf numFmtId="177" fontId="0" fillId="0" borderId="12" xfId="0" applyNumberFormat="1" applyBorder="1">
      <alignment vertical="center"/>
    </xf>
    <xf numFmtId="0" fontId="0" fillId="0" borderId="12" xfId="0" applyBorder="1" applyAlignment="1">
      <alignment horizontal="center" vertical="center" wrapText="1"/>
    </xf>
    <xf numFmtId="0" fontId="3" fillId="0" borderId="0" xfId="0" applyFont="1">
      <alignment vertical="center"/>
    </xf>
    <xf numFmtId="0" fontId="4" fillId="0" borderId="12" xfId="22" applyFont="1" applyFill="1" applyBorder="1" applyAlignment="1">
      <alignment horizontal="center" vertical="center" wrapText="1"/>
    </xf>
    <xf numFmtId="0" fontId="4" fillId="0" borderId="12" xfId="0" applyFont="1" applyBorder="1" applyAlignment="1">
      <alignment horizontal="center" vertical="center"/>
    </xf>
    <xf numFmtId="0" fontId="3" fillId="0" borderId="12" xfId="0" applyFont="1" applyBorder="1" applyAlignment="1">
      <alignment horizontal="center" vertical="center"/>
    </xf>
    <xf numFmtId="0" fontId="4" fillId="0" borderId="12" xfId="22" applyFont="1" applyFill="1" applyBorder="1" applyAlignment="1">
      <alignment horizontal="left" vertical="center" wrapText="1"/>
    </xf>
    <xf numFmtId="0" fontId="20" fillId="0" borderId="2" xfId="0" applyFont="1" applyBorder="1" applyAlignment="1">
      <alignment horizontal="center" vertical="center"/>
    </xf>
    <xf numFmtId="0" fontId="31" fillId="0" borderId="2" xfId="0" applyFont="1" applyBorder="1" applyAlignment="1">
      <alignment horizontal="center" vertical="center" wrapText="1"/>
    </xf>
    <xf numFmtId="0" fontId="33" fillId="0" borderId="2" xfId="0" applyFont="1" applyBorder="1" applyAlignment="1">
      <alignment horizontal="center" vertical="center"/>
    </xf>
    <xf numFmtId="0" fontId="10" fillId="0" borderId="2" xfId="0" applyFont="1" applyBorder="1" applyAlignment="1">
      <alignment horizontal="left" vertical="center"/>
    </xf>
    <xf numFmtId="0" fontId="33" fillId="0" borderId="2" xfId="0" applyFont="1" applyBorder="1" applyAlignment="1">
      <alignment horizontal="center" vertical="center" wrapText="1"/>
    </xf>
    <xf numFmtId="0" fontId="10" fillId="0" borderId="2" xfId="0" applyFont="1" applyBorder="1" applyAlignment="1">
      <alignment horizontal="left" vertical="center" wrapText="1"/>
    </xf>
    <xf numFmtId="0" fontId="34" fillId="0" borderId="2" xfId="0" applyFont="1" applyBorder="1" applyAlignment="1">
      <alignment horizontal="center" vertical="center" wrapText="1"/>
    </xf>
    <xf numFmtId="177" fontId="0" fillId="0" borderId="2" xfId="0" applyNumberFormat="1" applyBorder="1" applyAlignment="1">
      <alignment horizontal="center" vertical="center"/>
    </xf>
    <xf numFmtId="0" fontId="0" fillId="0" borderId="0" xfId="0" applyAlignment="1">
      <alignment horizontal="left" vertical="center"/>
    </xf>
    <xf numFmtId="0" fontId="35" fillId="0" borderId="12" xfId="0" applyFont="1" applyBorder="1" applyAlignment="1">
      <alignment horizontal="center" vertical="center"/>
    </xf>
    <xf numFmtId="0" fontId="2" fillId="0" borderId="12" xfId="0" applyFont="1" applyBorder="1" applyAlignment="1">
      <alignment horizontal="center" vertical="center"/>
    </xf>
    <xf numFmtId="0" fontId="35"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0" xfId="0" applyFont="1" applyAlignment="1">
      <alignment horizontal="center" vertical="center"/>
    </xf>
    <xf numFmtId="0" fontId="1"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8" fillId="0" borderId="0" xfId="0" applyFont="1" applyAlignment="1">
      <alignment horizontal="left" vertical="center"/>
    </xf>
    <xf numFmtId="0" fontId="1" fillId="0" borderId="0" xfId="0" applyFont="1">
      <alignment vertical="center"/>
    </xf>
    <xf numFmtId="0" fontId="39" fillId="0" borderId="12" xfId="0" applyFont="1" applyBorder="1" applyAlignment="1">
      <alignment horizontal="left" vertical="center"/>
    </xf>
    <xf numFmtId="0" fontId="3" fillId="0" borderId="12" xfId="0" applyFont="1" applyBorder="1" applyAlignment="1">
      <alignment horizontal="center" vertical="center" wrapText="1"/>
    </xf>
    <xf numFmtId="0" fontId="40" fillId="0" borderId="12" xfId="0" applyFont="1" applyBorder="1" applyAlignment="1">
      <alignment horizontal="left" vertical="center" wrapText="1"/>
    </xf>
    <xf numFmtId="0" fontId="22" fillId="0" borderId="12" xfId="0" applyFont="1" applyBorder="1" applyAlignment="1">
      <alignment horizontal="center" vertical="center" wrapText="1"/>
    </xf>
    <xf numFmtId="0" fontId="41" fillId="0" borderId="12" xfId="0" applyFont="1" applyBorder="1" applyAlignment="1">
      <alignment horizontal="center" vertical="center" wrapText="1"/>
    </xf>
    <xf numFmtId="49" fontId="1" fillId="0" borderId="12" xfId="0" applyNumberFormat="1" applyFont="1" applyBorder="1" applyAlignment="1">
      <alignment horizontal="center" vertical="center"/>
    </xf>
    <xf numFmtId="0" fontId="42" fillId="0" borderId="12" xfId="0" applyFont="1" applyBorder="1" applyAlignment="1">
      <alignment horizontal="center" vertical="center"/>
    </xf>
    <xf numFmtId="49" fontId="42" fillId="0" borderId="12" xfId="0" applyNumberFormat="1" applyFont="1" applyBorder="1" applyAlignment="1">
      <alignment horizontal="center" vertical="center"/>
    </xf>
    <xf numFmtId="0" fontId="1" fillId="0" borderId="12" xfId="0" applyFont="1" applyBorder="1">
      <alignment vertical="center"/>
    </xf>
    <xf numFmtId="0" fontId="43" fillId="0" borderId="12" xfId="0" applyFont="1" applyBorder="1" applyAlignment="1">
      <alignment horizontal="left" vertical="center"/>
    </xf>
    <xf numFmtId="0" fontId="1" fillId="0" borderId="12" xfId="0" applyFont="1" applyBorder="1" applyAlignment="1">
      <alignment vertical="center" wrapText="1"/>
    </xf>
    <xf numFmtId="0" fontId="44" fillId="0" borderId="12" xfId="0" applyFont="1" applyBorder="1" applyAlignment="1">
      <alignment horizontal="left" vertical="center" wrapText="1"/>
    </xf>
    <xf numFmtId="0" fontId="45" fillId="0" borderId="12" xfId="0" applyFont="1" applyBorder="1" applyAlignment="1">
      <alignment horizontal="left" vertical="center"/>
    </xf>
    <xf numFmtId="0" fontId="42" fillId="0" borderId="12" xfId="0" applyFont="1" applyBorder="1">
      <alignment vertical="center"/>
    </xf>
    <xf numFmtId="0" fontId="46" fillId="0" borderId="0" xfId="0" applyFont="1" applyAlignment="1">
      <alignment horizontal="center" vertical="center"/>
    </xf>
    <xf numFmtId="0" fontId="21" fillId="4" borderId="12" xfId="0" applyFont="1" applyFill="1" applyBorder="1" applyAlignment="1">
      <alignment horizontal="center" vertical="center" wrapText="1"/>
    </xf>
    <xf numFmtId="0" fontId="31" fillId="0" borderId="12" xfId="0" applyFont="1" applyFill="1" applyBorder="1" applyAlignment="1">
      <alignment horizontal="center" vertical="center"/>
    </xf>
    <xf numFmtId="0" fontId="31" fillId="0" borderId="12" xfId="0" applyFont="1" applyFill="1" applyBorder="1" applyAlignment="1">
      <alignment horizontal="left" vertical="center"/>
    </xf>
    <xf numFmtId="0" fontId="31" fillId="0" borderId="12" xfId="0" applyFont="1" applyFill="1" applyBorder="1">
      <alignment vertical="center"/>
    </xf>
    <xf numFmtId="0" fontId="22" fillId="5" borderId="12" xfId="0" applyFont="1" applyFill="1" applyBorder="1" applyAlignment="1">
      <alignment horizontal="center" vertical="center" wrapText="1"/>
    </xf>
    <xf numFmtId="49" fontId="31" fillId="0" borderId="12" xfId="0" applyNumberFormat="1" applyFont="1" applyFill="1" applyBorder="1" applyAlignment="1">
      <alignment horizontal="center" vertical="center" wrapText="1"/>
    </xf>
    <xf numFmtId="0" fontId="21" fillId="5"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1" fillId="5" borderId="12" xfId="0" applyFont="1" applyFill="1" applyBorder="1" applyAlignment="1">
      <alignment horizontal="center" vertical="center" wrapText="1"/>
    </xf>
    <xf numFmtId="0" fontId="47" fillId="5" borderId="12" xfId="0"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22" fillId="5" borderId="15"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8" fillId="0" borderId="12" xfId="0" applyFont="1" applyFill="1" applyBorder="1">
      <alignment vertical="center"/>
    </xf>
    <xf numFmtId="49" fontId="31" fillId="0" borderId="12" xfId="0" applyNumberFormat="1" applyFont="1" applyFill="1" applyBorder="1" applyAlignment="1">
      <alignment horizontal="left" vertical="center" wrapText="1"/>
    </xf>
    <xf numFmtId="0" fontId="32" fillId="5" borderId="12" xfId="0" applyFont="1" applyFill="1" applyBorder="1">
      <alignment vertical="center"/>
    </xf>
    <xf numFmtId="49" fontId="4" fillId="0" borderId="12" xfId="0" applyNumberFormat="1" applyFont="1" applyFill="1" applyBorder="1" applyAlignment="1">
      <alignment horizontal="left" vertical="center" wrapText="1"/>
    </xf>
    <xf numFmtId="0" fontId="4" fillId="0" borderId="16" xfId="0" applyFont="1" applyFill="1" applyBorder="1" applyAlignment="1">
      <alignment horizontal="center" vertical="center"/>
    </xf>
    <xf numFmtId="0" fontId="0" fillId="5" borderId="12" xfId="0" applyFill="1" applyBorder="1">
      <alignment vertical="center"/>
    </xf>
    <xf numFmtId="0" fontId="4" fillId="0" borderId="15" xfId="0" applyFont="1" applyFill="1" applyBorder="1" applyAlignment="1">
      <alignment horizontal="center" vertical="center"/>
    </xf>
    <xf numFmtId="0" fontId="22" fillId="5" borderId="12" xfId="0" applyFont="1" applyFill="1" applyBorder="1" applyAlignment="1">
      <alignment horizontal="left" vertical="center" wrapText="1"/>
    </xf>
    <xf numFmtId="0" fontId="49" fillId="5" borderId="12" xfId="0" applyFont="1" applyFill="1" applyBorder="1" applyAlignment="1">
      <alignment horizontal="center" vertical="center"/>
    </xf>
    <xf numFmtId="0" fontId="42" fillId="5" borderId="12" xfId="0" applyFont="1" applyFill="1" applyBorder="1" applyAlignment="1">
      <alignment horizontal="center" vertical="center" wrapText="1"/>
    </xf>
    <xf numFmtId="0" fontId="22" fillId="5" borderId="12" xfId="0" applyFont="1" applyFill="1" applyBorder="1" applyAlignment="1">
      <alignment horizontal="center" vertical="center"/>
    </xf>
    <xf numFmtId="0" fontId="31" fillId="0" borderId="12"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12" xfId="0" applyFont="1" applyFill="1" applyBorder="1" applyAlignment="1">
      <alignment horizontal="left" vertical="center"/>
    </xf>
    <xf numFmtId="0" fontId="4" fillId="0" borderId="12" xfId="0" applyFont="1" applyFill="1" applyBorder="1" applyAlignment="1">
      <alignment horizontal="left" vertical="center"/>
    </xf>
    <xf numFmtId="0" fontId="4" fillId="5" borderId="12" xfId="0" applyFont="1" applyFill="1" applyBorder="1" applyAlignment="1">
      <alignment horizontal="left" vertical="center"/>
    </xf>
    <xf numFmtId="0" fontId="22" fillId="5" borderId="12" xfId="0" applyFont="1" applyFill="1" applyBorder="1" applyAlignment="1">
      <alignment horizontal="left" vertical="center"/>
    </xf>
    <xf numFmtId="0" fontId="50" fillId="5" borderId="12" xfId="0" applyFont="1" applyFill="1" applyBorder="1" applyAlignment="1">
      <alignment horizontal="center" vertical="center" wrapText="1"/>
    </xf>
    <xf numFmtId="0" fontId="50" fillId="5" borderId="16" xfId="0" applyFont="1" applyFill="1" applyBorder="1" applyAlignment="1">
      <alignment horizontal="center" vertical="center" wrapText="1"/>
    </xf>
    <xf numFmtId="0" fontId="51" fillId="5" borderId="12" xfId="0" applyFont="1" applyFill="1" applyBorder="1" applyAlignment="1">
      <alignment horizontal="center" vertical="center"/>
    </xf>
    <xf numFmtId="0" fontId="0" fillId="0" borderId="0" xfId="0" applyAlignment="1">
      <alignment horizontal="right" vertical="center"/>
    </xf>
    <xf numFmtId="0" fontId="46" fillId="0" borderId="0" xfId="0" applyFont="1" applyAlignment="1">
      <alignment horizontal="left" vertical="center"/>
    </xf>
    <xf numFmtId="0" fontId="21" fillId="6" borderId="12" xfId="0" applyFont="1" applyFill="1" applyBorder="1" applyAlignment="1">
      <alignment horizontal="center" vertical="center"/>
    </xf>
    <xf numFmtId="0" fontId="21" fillId="6" borderId="12" xfId="0" applyFont="1" applyFill="1" applyBorder="1" applyAlignment="1">
      <alignment horizontal="left" vertical="center"/>
    </xf>
    <xf numFmtId="0" fontId="21" fillId="6" borderId="12" xfId="0" applyFont="1" applyFill="1" applyBorder="1">
      <alignment vertical="center"/>
    </xf>
    <xf numFmtId="4" fontId="21" fillId="6" borderId="12" xfId="0" applyNumberFormat="1" applyFont="1" applyFill="1" applyBorder="1" applyAlignment="1">
      <alignment horizontal="right" vertical="center"/>
    </xf>
    <xf numFmtId="49" fontId="21" fillId="6" borderId="12" xfId="0" applyNumberFormat="1" applyFont="1" applyFill="1" applyBorder="1" applyAlignment="1">
      <alignment horizontal="center" vertical="center" wrapText="1"/>
    </xf>
    <xf numFmtId="4" fontId="21" fillId="6" borderId="12" xfId="0" applyNumberFormat="1" applyFont="1" applyFill="1" applyBorder="1" applyAlignment="1">
      <alignment horizontal="center" vertical="center"/>
    </xf>
    <xf numFmtId="0" fontId="22" fillId="6" borderId="12" xfId="0" applyFont="1" applyFill="1" applyBorder="1" applyAlignment="1">
      <alignment horizontal="center" vertical="center" wrapText="1"/>
    </xf>
    <xf numFmtId="0" fontId="22" fillId="6" borderId="12" xfId="0" applyFont="1" applyFill="1" applyBorder="1" applyAlignment="1">
      <alignment horizontal="left" vertical="center" wrapText="1"/>
    </xf>
    <xf numFmtId="4" fontId="22" fillId="6" borderId="12" xfId="0" applyNumberFormat="1" applyFont="1" applyFill="1" applyBorder="1" applyAlignment="1">
      <alignment horizontal="center" vertical="center" wrapText="1"/>
    </xf>
    <xf numFmtId="4" fontId="22" fillId="6" borderId="12" xfId="0" applyNumberFormat="1" applyFont="1" applyFill="1" applyBorder="1" applyAlignment="1">
      <alignment horizontal="right" vertical="center" wrapText="1"/>
    </xf>
    <xf numFmtId="0" fontId="4" fillId="6" borderId="12" xfId="0" applyFont="1" applyFill="1" applyBorder="1" applyAlignment="1">
      <alignment horizontal="center" vertical="center" wrapText="1"/>
    </xf>
    <xf numFmtId="0" fontId="4" fillId="6" borderId="12" xfId="0" applyFont="1" applyFill="1" applyBorder="1" applyAlignment="1">
      <alignment horizontal="left" vertical="center" wrapText="1"/>
    </xf>
    <xf numFmtId="0" fontId="4" fillId="6" borderId="12" xfId="0" applyFont="1" applyFill="1" applyBorder="1" applyAlignment="1">
      <alignment horizontal="center" vertical="center"/>
    </xf>
    <xf numFmtId="0" fontId="22" fillId="6" borderId="12" xfId="0" applyFont="1" applyFill="1" applyBorder="1" applyAlignment="1">
      <alignment horizontal="center" vertical="center"/>
    </xf>
    <xf numFmtId="0" fontId="21" fillId="6" borderId="12" xfId="0" applyFont="1" applyFill="1" applyBorder="1" applyAlignment="1">
      <alignment horizontal="center" vertical="center" wrapText="1"/>
    </xf>
    <xf numFmtId="4" fontId="21" fillId="6" borderId="12" xfId="0" applyNumberFormat="1" applyFont="1" applyFill="1" applyBorder="1" applyAlignment="1">
      <alignment horizontal="center" vertical="center" wrapText="1"/>
    </xf>
    <xf numFmtId="4" fontId="21" fillId="6" borderId="12" xfId="0" applyNumberFormat="1" applyFont="1" applyFill="1" applyBorder="1" applyAlignment="1">
      <alignment horizontal="right" vertical="center" wrapText="1"/>
    </xf>
    <xf numFmtId="49" fontId="4" fillId="6" borderId="12" xfId="0" applyNumberFormat="1" applyFont="1" applyFill="1" applyBorder="1" applyAlignment="1">
      <alignment horizontal="center" vertical="center" wrapText="1"/>
    </xf>
    <xf numFmtId="4" fontId="4" fillId="6" borderId="12" xfId="0" applyNumberFormat="1" applyFont="1" applyFill="1" applyBorder="1" applyAlignment="1">
      <alignment horizontal="center" vertical="center" wrapText="1"/>
    </xf>
    <xf numFmtId="4" fontId="4" fillId="6" borderId="12" xfId="0" applyNumberFormat="1" applyFont="1" applyFill="1" applyBorder="1" applyAlignment="1">
      <alignment horizontal="right" vertical="center" wrapText="1"/>
    </xf>
    <xf numFmtId="4" fontId="4" fillId="6" borderId="12" xfId="0" applyNumberFormat="1" applyFont="1" applyFill="1" applyBorder="1" applyAlignment="1">
      <alignment horizontal="center" vertical="center"/>
    </xf>
    <xf numFmtId="49" fontId="22" fillId="6" borderId="12" xfId="0" applyNumberFormat="1" applyFont="1" applyFill="1" applyBorder="1" applyAlignment="1">
      <alignment horizontal="center" vertical="center" wrapText="1"/>
    </xf>
    <xf numFmtId="4" fontId="22" fillId="6" borderId="12" xfId="0" applyNumberFormat="1" applyFont="1" applyFill="1" applyBorder="1" applyAlignment="1">
      <alignment horizontal="center" vertical="center"/>
    </xf>
    <xf numFmtId="0" fontId="21" fillId="0" borderId="12" xfId="0" applyFont="1" applyBorder="1" applyAlignment="1">
      <alignment horizontal="center" vertical="center"/>
    </xf>
    <xf numFmtId="0" fontId="21" fillId="0" borderId="12" xfId="0" applyFont="1" applyBorder="1" applyAlignment="1">
      <alignment horizontal="left" vertical="center"/>
    </xf>
    <xf numFmtId="0" fontId="19" fillId="0" borderId="12" xfId="0" applyFont="1" applyBorder="1">
      <alignment vertical="center"/>
    </xf>
    <xf numFmtId="0" fontId="21" fillId="0" borderId="12" xfId="0" applyFont="1" applyBorder="1">
      <alignment vertical="center"/>
    </xf>
    <xf numFmtId="4" fontId="21" fillId="0" borderId="12" xfId="0" applyNumberFormat="1" applyFont="1" applyBorder="1" applyAlignment="1">
      <alignment horizontal="right" vertical="center"/>
    </xf>
    <xf numFmtId="49" fontId="21" fillId="0" borderId="12" xfId="0" applyNumberFormat="1" applyFont="1" applyBorder="1" applyAlignment="1">
      <alignment horizontal="center" vertical="center" wrapText="1"/>
    </xf>
    <xf numFmtId="49" fontId="21" fillId="0" borderId="12" xfId="0" applyNumberFormat="1" applyFont="1" applyBorder="1" applyAlignment="1">
      <alignment horizontal="left" vertical="center" wrapText="1"/>
    </xf>
    <xf numFmtId="4" fontId="21" fillId="0" borderId="12" xfId="0" applyNumberFormat="1" applyFont="1" applyBorder="1" applyAlignment="1">
      <alignment horizontal="right" vertical="center" wrapText="1"/>
    </xf>
    <xf numFmtId="49" fontId="22" fillId="0" borderId="12" xfId="0" applyNumberFormat="1" applyFont="1" applyBorder="1" applyAlignment="1">
      <alignment horizontal="center" vertical="center" wrapText="1"/>
    </xf>
    <xf numFmtId="49" fontId="22" fillId="0" borderId="12" xfId="0" applyNumberFormat="1" applyFont="1" applyBorder="1" applyAlignment="1">
      <alignment horizontal="left" vertical="center" wrapText="1"/>
    </xf>
    <xf numFmtId="0" fontId="22" fillId="0" borderId="16" xfId="0" applyFont="1" applyBorder="1" applyAlignment="1">
      <alignment vertical="center" wrapText="1"/>
    </xf>
    <xf numFmtId="0" fontId="22" fillId="0" borderId="12" xfId="0" applyFont="1" applyBorder="1" applyAlignment="1">
      <alignment horizontal="center" vertical="center"/>
    </xf>
    <xf numFmtId="4" fontId="22" fillId="0" borderId="12" xfId="0" applyNumberFormat="1" applyFont="1" applyBorder="1" applyAlignment="1">
      <alignment horizontal="center" vertical="center" wrapText="1"/>
    </xf>
    <xf numFmtId="4" fontId="22" fillId="0" borderId="12" xfId="0" applyNumberFormat="1" applyFont="1" applyBorder="1" applyAlignment="1">
      <alignment horizontal="right" vertical="center" wrapText="1"/>
    </xf>
    <xf numFmtId="0" fontId="22" fillId="0" borderId="17" xfId="0" applyFont="1" applyBorder="1" applyAlignment="1">
      <alignment vertical="center" wrapText="1"/>
    </xf>
    <xf numFmtId="0" fontId="22" fillId="0" borderId="15" xfId="0" applyFont="1" applyBorder="1" applyAlignment="1">
      <alignment vertical="center" wrapText="1"/>
    </xf>
    <xf numFmtId="0" fontId="22" fillId="0" borderId="12" xfId="0" applyFont="1" applyBorder="1" applyAlignment="1">
      <alignment horizontal="left" vertical="center" wrapText="1"/>
    </xf>
    <xf numFmtId="0" fontId="21" fillId="6" borderId="12" xfId="0" applyFont="1" applyFill="1" applyBorder="1" applyAlignment="1">
      <alignment horizontal="left" vertical="center" wrapText="1"/>
    </xf>
    <xf numFmtId="49" fontId="22" fillId="6" borderId="12" xfId="0" applyNumberFormat="1" applyFont="1" applyFill="1" applyBorder="1" applyAlignment="1">
      <alignment horizontal="left" vertical="center" wrapText="1"/>
    </xf>
    <xf numFmtId="0" fontId="22" fillId="6" borderId="16" xfId="0" applyFont="1" applyFill="1" applyBorder="1" applyAlignment="1">
      <alignment horizontal="left" vertical="center" wrapText="1"/>
    </xf>
    <xf numFmtId="0" fontId="22" fillId="6" borderId="15" xfId="0" applyFont="1" applyFill="1" applyBorder="1" applyAlignment="1">
      <alignment horizontal="left" vertical="center" wrapText="1"/>
    </xf>
    <xf numFmtId="0" fontId="1" fillId="6" borderId="12" xfId="0" applyFont="1" applyFill="1" applyBorder="1" applyAlignment="1">
      <alignment horizontal="center" vertical="center" wrapText="1"/>
    </xf>
    <xf numFmtId="0" fontId="47" fillId="6" borderId="12" xfId="0" applyFont="1" applyFill="1" applyBorder="1" applyAlignment="1">
      <alignment horizontal="center" vertical="center" wrapText="1"/>
    </xf>
    <xf numFmtId="0" fontId="32" fillId="0" borderId="12" xfId="0" applyFont="1" applyBorder="1">
      <alignment vertical="center"/>
    </xf>
    <xf numFmtId="0" fontId="0" fillId="0" borderId="12" xfId="0" applyBorder="1">
      <alignment vertical="center"/>
    </xf>
    <xf numFmtId="0" fontId="49" fillId="0" borderId="12" xfId="0" applyFont="1" applyBorder="1" applyAlignment="1">
      <alignment horizontal="center" vertical="center"/>
    </xf>
    <xf numFmtId="0" fontId="42" fillId="0" borderId="12" xfId="0" applyFont="1" applyBorder="1" applyAlignment="1">
      <alignment horizontal="center" vertical="center" wrapText="1"/>
    </xf>
    <xf numFmtId="4" fontId="21" fillId="0" borderId="12" xfId="0" applyNumberFormat="1" applyFont="1" applyBorder="1" applyAlignment="1">
      <alignment horizontal="center" vertical="center"/>
    </xf>
    <xf numFmtId="49" fontId="4" fillId="0" borderId="12" xfId="0" applyNumberFormat="1" applyFont="1" applyBorder="1" applyAlignment="1">
      <alignment horizontal="center" vertical="center" wrapText="1"/>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179" fontId="4" fillId="0" borderId="12" xfId="0" applyNumberFormat="1" applyFont="1" applyBorder="1" applyAlignment="1">
      <alignment horizontal="center" vertical="center"/>
    </xf>
    <xf numFmtId="4" fontId="4" fillId="0" borderId="12" xfId="0" applyNumberFormat="1" applyFont="1" applyBorder="1" applyAlignment="1">
      <alignment horizontal="right" vertical="center"/>
    </xf>
    <xf numFmtId="4" fontId="4" fillId="0" borderId="12" xfId="0" applyNumberFormat="1" applyFont="1" applyBorder="1" applyAlignment="1">
      <alignment horizontal="center" vertical="center"/>
    </xf>
    <xf numFmtId="0" fontId="22" fillId="0" borderId="12" xfId="0" applyFont="1" applyBorder="1" applyAlignment="1">
      <alignment horizontal="left" vertical="center"/>
    </xf>
    <xf numFmtId="4" fontId="22" fillId="0" borderId="12" xfId="0" applyNumberFormat="1" applyFont="1" applyBorder="1" applyAlignment="1">
      <alignment horizontal="center" vertical="center"/>
    </xf>
    <xf numFmtId="4" fontId="22" fillId="0" borderId="12" xfId="0" applyNumberFormat="1" applyFont="1" applyBorder="1" applyAlignment="1">
      <alignment horizontal="right" vertical="center"/>
    </xf>
    <xf numFmtId="0" fontId="3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2" fillId="6" borderId="12" xfId="0" applyFont="1" applyFill="1" applyBorder="1" applyAlignment="1">
      <alignment horizontal="left" vertical="center"/>
    </xf>
    <xf numFmtId="4" fontId="22" fillId="6" borderId="12" xfId="0" applyNumberFormat="1" applyFont="1" applyFill="1" applyBorder="1" applyAlignment="1">
      <alignment horizontal="right" vertical="center"/>
    </xf>
    <xf numFmtId="4" fontId="4" fillId="6" borderId="12" xfId="0" applyNumberFormat="1" applyFont="1" applyFill="1" applyBorder="1" applyAlignment="1">
      <alignment horizontal="right" vertical="center"/>
    </xf>
    <xf numFmtId="0" fontId="4" fillId="6" borderId="12" xfId="0" applyFont="1" applyFill="1" applyBorder="1" applyAlignment="1">
      <alignment horizontal="left" vertical="center"/>
    </xf>
    <xf numFmtId="180" fontId="4" fillId="6" borderId="12" xfId="0" applyNumberFormat="1" applyFont="1" applyFill="1" applyBorder="1" applyAlignment="1">
      <alignment horizontal="center" vertical="center"/>
    </xf>
    <xf numFmtId="0" fontId="52" fillId="0" borderId="12" xfId="0" applyFont="1" applyBorder="1" applyAlignment="1">
      <alignment horizontal="left" vertical="center"/>
    </xf>
    <xf numFmtId="177" fontId="4" fillId="0" borderId="12" xfId="0" applyNumberFormat="1" applyFont="1" applyBorder="1" applyAlignment="1">
      <alignment horizontal="left" vertical="center" wrapText="1"/>
    </xf>
    <xf numFmtId="0" fontId="21" fillId="4" borderId="14"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13" xfId="0" applyFont="1" applyFill="1" applyBorder="1" applyAlignment="1">
      <alignment horizontal="center" vertical="center" wrapText="1"/>
    </xf>
    <xf numFmtId="4" fontId="21" fillId="4" borderId="12" xfId="0" applyNumberFormat="1" applyFont="1" applyFill="1" applyBorder="1" applyAlignment="1">
      <alignment horizontal="right" vertical="center"/>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5" xfId="0" applyFont="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4" xfId="51"/>
    <cellStyle name="常规 4" xfId="52"/>
    <cellStyle name="常规 5" xfId="53"/>
    <cellStyle name="常规 6" xfId="54"/>
    <cellStyle name="常规_无线通信设备安装工程安全风险评估v2 2" xfId="55"/>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3"/>
  <sheetViews>
    <sheetView view="pageBreakPreview" zoomScale="70" zoomScaleNormal="70" workbookViewId="0">
      <pane xSplit="3" ySplit="2" topLeftCell="D89" activePane="bottomRight" state="frozen"/>
      <selection/>
      <selection pane="topRight"/>
      <selection pane="bottomLeft"/>
      <selection pane="bottomRight" activeCell="B97" sqref="B97:B102"/>
    </sheetView>
  </sheetViews>
  <sheetFormatPr defaultColWidth="9" defaultRowHeight="13.5"/>
  <cols>
    <col min="1" max="1" width="9.63333333333333"/>
    <col min="2" max="2" width="28.8833333333333" style="119" customWidth="1"/>
    <col min="3" max="3" width="16.2583333333333" style="119" customWidth="1"/>
    <col min="4" max="4" width="102.758333333333" customWidth="1"/>
    <col min="5" max="5" width="9" customWidth="1"/>
    <col min="6" max="6" width="10.6333333333333" customWidth="1"/>
    <col min="7" max="7" width="11.3833333333333" style="2" customWidth="1"/>
    <col min="8" max="8" width="11.3833333333333" style="182" customWidth="1"/>
    <col min="9" max="9" width="15.2583333333333" customWidth="1"/>
    <col min="10" max="10" width="83.8833333333333" style="119" customWidth="1"/>
    <col min="12" max="12" width="12.8833333333333"/>
  </cols>
  <sheetData>
    <row r="1" ht="42" customHeight="1" spans="1:9">
      <c r="A1" s="145" t="s">
        <v>0</v>
      </c>
      <c r="B1" s="183"/>
      <c r="C1" s="183"/>
      <c r="D1" s="145"/>
      <c r="E1" s="145"/>
      <c r="F1" s="145"/>
      <c r="G1" s="145"/>
      <c r="H1" s="145"/>
      <c r="I1" s="145"/>
    </row>
    <row r="2" ht="35.1" customHeight="1" spans="1:10">
      <c r="A2" s="146" t="s">
        <v>1</v>
      </c>
      <c r="B2" s="146" t="s">
        <v>2</v>
      </c>
      <c r="C2" s="146" t="s">
        <v>3</v>
      </c>
      <c r="D2" s="146" t="s">
        <v>4</v>
      </c>
      <c r="E2" s="146" t="s">
        <v>5</v>
      </c>
      <c r="F2" s="146" t="s">
        <v>6</v>
      </c>
      <c r="G2" s="146" t="s">
        <v>7</v>
      </c>
      <c r="H2" s="146" t="s">
        <v>8</v>
      </c>
      <c r="I2" s="146" t="s">
        <v>9</v>
      </c>
      <c r="J2" s="223" t="s">
        <v>10</v>
      </c>
    </row>
    <row r="3" ht="30" customHeight="1" spans="1:10">
      <c r="A3" s="184">
        <v>1</v>
      </c>
      <c r="B3" s="185" t="s">
        <v>11</v>
      </c>
      <c r="C3" s="185"/>
      <c r="D3" s="186"/>
      <c r="E3" s="186"/>
      <c r="F3" s="184"/>
      <c r="G3" s="184" t="s">
        <v>12</v>
      </c>
      <c r="H3" s="187">
        <f>SUM(H4:H41)/2</f>
        <v>310.7</v>
      </c>
      <c r="I3" s="190"/>
      <c r="J3" s="223"/>
    </row>
    <row r="4" ht="26.1" customHeight="1" outlineLevel="1" spans="1:10">
      <c r="A4" s="188" t="s">
        <v>13</v>
      </c>
      <c r="B4" s="185" t="s">
        <v>14</v>
      </c>
      <c r="C4" s="185"/>
      <c r="D4" s="185"/>
      <c r="E4" s="185"/>
      <c r="F4" s="184"/>
      <c r="G4" s="189"/>
      <c r="H4" s="187">
        <f>SUM(H5:H20)</f>
        <v>79.15</v>
      </c>
      <c r="I4" s="198"/>
      <c r="J4" s="223"/>
    </row>
    <row r="5" ht="42.95" customHeight="1" outlineLevel="2" spans="1:10">
      <c r="A5" s="190" t="s">
        <v>15</v>
      </c>
      <c r="B5" s="191" t="s">
        <v>16</v>
      </c>
      <c r="C5" s="191" t="s">
        <v>17</v>
      </c>
      <c r="D5" s="191" t="s">
        <v>18</v>
      </c>
      <c r="E5" s="190" t="s">
        <v>19</v>
      </c>
      <c r="F5" s="190">
        <v>4</v>
      </c>
      <c r="G5" s="192">
        <v>2.85</v>
      </c>
      <c r="H5" s="193">
        <f t="shared" ref="H5:H20" si="0">F5*G5</f>
        <v>11.4</v>
      </c>
      <c r="I5" s="228" t="s">
        <v>20</v>
      </c>
      <c r="J5" s="223"/>
    </row>
    <row r="6" ht="65.1" customHeight="1" outlineLevel="2" spans="1:10">
      <c r="A6" s="190" t="s">
        <v>21</v>
      </c>
      <c r="B6" s="191" t="s">
        <v>22</v>
      </c>
      <c r="C6" s="191" t="s">
        <v>23</v>
      </c>
      <c r="D6" s="191" t="s">
        <v>24</v>
      </c>
      <c r="E6" s="190" t="s">
        <v>25</v>
      </c>
      <c r="F6" s="190">
        <v>2</v>
      </c>
      <c r="G6" s="192">
        <v>3</v>
      </c>
      <c r="H6" s="193">
        <f t="shared" si="0"/>
        <v>6</v>
      </c>
      <c r="I6" s="228" t="s">
        <v>26</v>
      </c>
      <c r="J6" s="223"/>
    </row>
    <row r="7" ht="39.95" customHeight="1" outlineLevel="2" spans="1:10">
      <c r="A7" s="190" t="s">
        <v>27</v>
      </c>
      <c r="B7" s="191" t="s">
        <v>28</v>
      </c>
      <c r="C7" s="191" t="s">
        <v>17</v>
      </c>
      <c r="D7" s="191" t="s">
        <v>18</v>
      </c>
      <c r="E7" s="190" t="s">
        <v>19</v>
      </c>
      <c r="F7" s="190">
        <v>2</v>
      </c>
      <c r="G7" s="192">
        <v>2.85</v>
      </c>
      <c r="H7" s="193">
        <f t="shared" si="0"/>
        <v>5.7</v>
      </c>
      <c r="I7" s="228" t="s">
        <v>29</v>
      </c>
      <c r="J7" s="223"/>
    </row>
    <row r="8" ht="57" customHeight="1" outlineLevel="2" spans="1:10">
      <c r="A8" s="190" t="s">
        <v>30</v>
      </c>
      <c r="B8" s="191" t="s">
        <v>31</v>
      </c>
      <c r="C8" s="191" t="s">
        <v>23</v>
      </c>
      <c r="D8" s="191" t="s">
        <v>32</v>
      </c>
      <c r="E8" s="190" t="s">
        <v>25</v>
      </c>
      <c r="F8" s="190">
        <v>1</v>
      </c>
      <c r="G8" s="192">
        <v>2.2</v>
      </c>
      <c r="H8" s="193">
        <f t="shared" si="0"/>
        <v>2.2</v>
      </c>
      <c r="I8" s="228" t="s">
        <v>26</v>
      </c>
      <c r="J8" s="223"/>
    </row>
    <row r="9" ht="36" customHeight="1" outlineLevel="2" spans="1:10">
      <c r="A9" s="190" t="s">
        <v>33</v>
      </c>
      <c r="B9" s="191" t="s">
        <v>34</v>
      </c>
      <c r="C9" s="191" t="s">
        <v>23</v>
      </c>
      <c r="D9" s="191" t="s">
        <v>35</v>
      </c>
      <c r="E9" s="190" t="s">
        <v>25</v>
      </c>
      <c r="F9" s="190">
        <v>1</v>
      </c>
      <c r="G9" s="192">
        <v>1.5</v>
      </c>
      <c r="H9" s="193">
        <f t="shared" si="0"/>
        <v>1.5</v>
      </c>
      <c r="I9" s="228"/>
      <c r="J9" s="223"/>
    </row>
    <row r="10" ht="36.95" customHeight="1" outlineLevel="2" spans="1:10">
      <c r="A10" s="190" t="s">
        <v>36</v>
      </c>
      <c r="B10" s="191" t="s">
        <v>37</v>
      </c>
      <c r="C10" s="191" t="s">
        <v>17</v>
      </c>
      <c r="D10" s="191" t="s">
        <v>18</v>
      </c>
      <c r="E10" s="190" t="s">
        <v>19</v>
      </c>
      <c r="F10" s="190">
        <v>2</v>
      </c>
      <c r="G10" s="192">
        <v>2.85</v>
      </c>
      <c r="H10" s="193">
        <f t="shared" si="0"/>
        <v>5.7</v>
      </c>
      <c r="I10" s="228" t="s">
        <v>29</v>
      </c>
      <c r="J10" s="223"/>
    </row>
    <row r="11" ht="48.95" customHeight="1" outlineLevel="2" spans="1:10">
      <c r="A11" s="190" t="s">
        <v>38</v>
      </c>
      <c r="B11" s="191" t="s">
        <v>39</v>
      </c>
      <c r="C11" s="191" t="s">
        <v>23</v>
      </c>
      <c r="D11" s="191" t="s">
        <v>40</v>
      </c>
      <c r="E11" s="190" t="s">
        <v>25</v>
      </c>
      <c r="F11" s="190">
        <v>1</v>
      </c>
      <c r="G11" s="192">
        <v>1</v>
      </c>
      <c r="H11" s="193">
        <f t="shared" si="0"/>
        <v>1</v>
      </c>
      <c r="I11" s="228" t="s">
        <v>26</v>
      </c>
      <c r="J11" s="223"/>
    </row>
    <row r="12" ht="39.95" customHeight="1" outlineLevel="2" spans="1:10">
      <c r="A12" s="190" t="s">
        <v>41</v>
      </c>
      <c r="B12" s="191" t="s">
        <v>42</v>
      </c>
      <c r="C12" s="191" t="s">
        <v>17</v>
      </c>
      <c r="D12" s="191" t="s">
        <v>18</v>
      </c>
      <c r="E12" s="190" t="s">
        <v>19</v>
      </c>
      <c r="F12" s="190">
        <v>2</v>
      </c>
      <c r="G12" s="192">
        <v>2.85</v>
      </c>
      <c r="H12" s="193">
        <f t="shared" si="0"/>
        <v>5.7</v>
      </c>
      <c r="I12" s="228" t="s">
        <v>29</v>
      </c>
      <c r="J12" s="223"/>
    </row>
    <row r="13" ht="102" customHeight="1" outlineLevel="2" spans="1:10">
      <c r="A13" s="190" t="s">
        <v>43</v>
      </c>
      <c r="B13" s="191" t="s">
        <v>44</v>
      </c>
      <c r="C13" s="191" t="s">
        <v>23</v>
      </c>
      <c r="D13" s="191" t="s">
        <v>45</v>
      </c>
      <c r="E13" s="190" t="s">
        <v>25</v>
      </c>
      <c r="F13" s="190">
        <v>1</v>
      </c>
      <c r="G13" s="192">
        <v>2.4</v>
      </c>
      <c r="H13" s="193">
        <f t="shared" si="0"/>
        <v>2.4</v>
      </c>
      <c r="I13" s="228" t="s">
        <v>26</v>
      </c>
      <c r="J13" s="223"/>
    </row>
    <row r="14" ht="111.95" customHeight="1" outlineLevel="2" spans="1:10">
      <c r="A14" s="194" t="s">
        <v>46</v>
      </c>
      <c r="B14" s="195" t="s">
        <v>47</v>
      </c>
      <c r="C14" s="191" t="s">
        <v>23</v>
      </c>
      <c r="D14" s="195" t="s">
        <v>48</v>
      </c>
      <c r="E14" s="194" t="s">
        <v>25</v>
      </c>
      <c r="F14" s="194">
        <v>1</v>
      </c>
      <c r="G14" s="192">
        <v>3.5</v>
      </c>
      <c r="H14" s="193">
        <f t="shared" si="0"/>
        <v>3.5</v>
      </c>
      <c r="I14" s="229"/>
      <c r="J14" s="223"/>
    </row>
    <row r="15" ht="50.1" customHeight="1" outlineLevel="2" spans="1:10">
      <c r="A15" s="194" t="s">
        <v>49</v>
      </c>
      <c r="B15" s="195" t="s">
        <v>50</v>
      </c>
      <c r="C15" s="191" t="s">
        <v>17</v>
      </c>
      <c r="D15" s="191" t="s">
        <v>18</v>
      </c>
      <c r="E15" s="194" t="s">
        <v>25</v>
      </c>
      <c r="F15" s="194">
        <v>1</v>
      </c>
      <c r="G15" s="192">
        <v>2.85</v>
      </c>
      <c r="H15" s="193">
        <f t="shared" si="0"/>
        <v>2.85</v>
      </c>
      <c r="I15" s="229" t="s">
        <v>51</v>
      </c>
      <c r="J15" s="223"/>
    </row>
    <row r="16" ht="50.1" customHeight="1" outlineLevel="2" spans="1:10">
      <c r="A16" s="194" t="s">
        <v>52</v>
      </c>
      <c r="B16" s="195" t="s">
        <v>53</v>
      </c>
      <c r="C16" s="191" t="s">
        <v>17</v>
      </c>
      <c r="D16" s="191" t="s">
        <v>18</v>
      </c>
      <c r="E16" s="194" t="s">
        <v>25</v>
      </c>
      <c r="F16" s="194">
        <v>1</v>
      </c>
      <c r="G16" s="192">
        <v>2.85</v>
      </c>
      <c r="H16" s="193">
        <f t="shared" si="0"/>
        <v>2.85</v>
      </c>
      <c r="I16" s="229" t="s">
        <v>51</v>
      </c>
      <c r="J16" s="223"/>
    </row>
    <row r="17" ht="50.1" customHeight="1" outlineLevel="2" spans="1:10">
      <c r="A17" s="194" t="s">
        <v>54</v>
      </c>
      <c r="B17" s="195" t="s">
        <v>55</v>
      </c>
      <c r="C17" s="191" t="s">
        <v>17</v>
      </c>
      <c r="D17" s="195" t="s">
        <v>56</v>
      </c>
      <c r="E17" s="194" t="s">
        <v>25</v>
      </c>
      <c r="F17" s="196">
        <v>1</v>
      </c>
      <c r="G17" s="192">
        <v>1.5</v>
      </c>
      <c r="H17" s="193">
        <f t="shared" si="0"/>
        <v>1.5</v>
      </c>
      <c r="I17" s="229" t="s">
        <v>51</v>
      </c>
      <c r="J17" s="223"/>
    </row>
    <row r="18" ht="50.1" customHeight="1" outlineLevel="2" spans="1:10">
      <c r="A18" s="194" t="s">
        <v>57</v>
      </c>
      <c r="B18" s="195" t="s">
        <v>58</v>
      </c>
      <c r="C18" s="191" t="s">
        <v>17</v>
      </c>
      <c r="D18" s="191" t="s">
        <v>18</v>
      </c>
      <c r="E18" s="194" t="s">
        <v>25</v>
      </c>
      <c r="F18" s="196">
        <v>1</v>
      </c>
      <c r="G18" s="192">
        <v>2.85</v>
      </c>
      <c r="H18" s="193">
        <f t="shared" si="0"/>
        <v>2.85</v>
      </c>
      <c r="I18" s="228" t="s">
        <v>59</v>
      </c>
      <c r="J18" s="223"/>
    </row>
    <row r="19" ht="50.1" customHeight="1" outlineLevel="2" spans="1:10">
      <c r="A19" s="190" t="s">
        <v>60</v>
      </c>
      <c r="B19" s="195" t="s">
        <v>61</v>
      </c>
      <c r="C19" s="195" t="s">
        <v>62</v>
      </c>
      <c r="D19" s="195" t="s">
        <v>63</v>
      </c>
      <c r="E19" s="190" t="s">
        <v>25</v>
      </c>
      <c r="F19" s="197">
        <v>4</v>
      </c>
      <c r="G19" s="192">
        <v>3.5</v>
      </c>
      <c r="H19" s="193">
        <f t="shared" si="0"/>
        <v>14</v>
      </c>
      <c r="I19" s="190" t="s">
        <v>20</v>
      </c>
      <c r="J19" s="223"/>
    </row>
    <row r="20" ht="50.1" customHeight="1" outlineLevel="2" spans="1:10">
      <c r="A20" s="190" t="s">
        <v>64</v>
      </c>
      <c r="B20" s="195" t="s">
        <v>65</v>
      </c>
      <c r="C20" s="195" t="s">
        <v>62</v>
      </c>
      <c r="D20" s="195" t="s">
        <v>66</v>
      </c>
      <c r="E20" s="190" t="s">
        <v>25</v>
      </c>
      <c r="F20" s="197">
        <v>2</v>
      </c>
      <c r="G20" s="192">
        <v>5</v>
      </c>
      <c r="H20" s="193">
        <f t="shared" si="0"/>
        <v>10</v>
      </c>
      <c r="I20" s="190" t="s">
        <v>29</v>
      </c>
      <c r="J20" s="223"/>
    </row>
    <row r="21" ht="29.1" customHeight="1" outlineLevel="1" spans="1:10">
      <c r="A21" s="188" t="s">
        <v>67</v>
      </c>
      <c r="B21" s="185" t="s">
        <v>68</v>
      </c>
      <c r="C21" s="185"/>
      <c r="D21" s="186"/>
      <c r="E21" s="198"/>
      <c r="F21" s="184"/>
      <c r="G21" s="199"/>
      <c r="H21" s="200">
        <f>SUM(H22:H24)</f>
        <v>91.5</v>
      </c>
      <c r="I21" s="198"/>
      <c r="J21" s="223"/>
    </row>
    <row r="22" ht="69.95" customHeight="1" outlineLevel="2" spans="1:10">
      <c r="A22" s="201" t="s">
        <v>69</v>
      </c>
      <c r="B22" s="195" t="s">
        <v>70</v>
      </c>
      <c r="C22" s="195" t="s">
        <v>71</v>
      </c>
      <c r="D22" s="195" t="s">
        <v>72</v>
      </c>
      <c r="E22" s="194" t="s">
        <v>25</v>
      </c>
      <c r="F22" s="194">
        <v>2</v>
      </c>
      <c r="G22" s="202">
        <v>27.5</v>
      </c>
      <c r="H22" s="203">
        <f>F22*G22</f>
        <v>55</v>
      </c>
      <c r="I22" s="194" t="s">
        <v>29</v>
      </c>
      <c r="J22" s="223" t="s">
        <v>73</v>
      </c>
    </row>
    <row r="23" ht="84" customHeight="1" outlineLevel="2" spans="1:10">
      <c r="A23" s="201" t="s">
        <v>74</v>
      </c>
      <c r="B23" s="195" t="s">
        <v>75</v>
      </c>
      <c r="C23" s="195" t="s">
        <v>71</v>
      </c>
      <c r="D23" s="195" t="s">
        <v>76</v>
      </c>
      <c r="E23" s="194" t="s">
        <v>25</v>
      </c>
      <c r="F23" s="194">
        <v>1</v>
      </c>
      <c r="G23" s="202">
        <v>27.5</v>
      </c>
      <c r="H23" s="203">
        <f>F23*G23</f>
        <v>27.5</v>
      </c>
      <c r="I23" s="194" t="s">
        <v>77</v>
      </c>
      <c r="J23" s="223" t="s">
        <v>78</v>
      </c>
    </row>
    <row r="24" ht="84" customHeight="1" outlineLevel="2" spans="1:10">
      <c r="A24" s="201" t="s">
        <v>79</v>
      </c>
      <c r="B24" s="195" t="s">
        <v>80</v>
      </c>
      <c r="C24" s="195" t="s">
        <v>71</v>
      </c>
      <c r="D24" s="195" t="s">
        <v>81</v>
      </c>
      <c r="E24" s="194" t="s">
        <v>25</v>
      </c>
      <c r="F24" s="194">
        <v>2</v>
      </c>
      <c r="G24" s="204">
        <v>4.5</v>
      </c>
      <c r="H24" s="203">
        <f>F24*G24</f>
        <v>9</v>
      </c>
      <c r="I24" s="194" t="s">
        <v>29</v>
      </c>
      <c r="J24" s="223" t="s">
        <v>82</v>
      </c>
    </row>
    <row r="25" ht="27" customHeight="1" outlineLevel="1" spans="1:10">
      <c r="A25" s="188" t="s">
        <v>83</v>
      </c>
      <c r="B25" s="185" t="s">
        <v>84</v>
      </c>
      <c r="C25" s="185"/>
      <c r="D25" s="186"/>
      <c r="E25" s="186"/>
      <c r="F25" s="184"/>
      <c r="G25" s="184"/>
      <c r="H25" s="200">
        <f>SUM(H26:H32)</f>
        <v>86</v>
      </c>
      <c r="I25" s="198"/>
      <c r="J25" s="223"/>
    </row>
    <row r="26" ht="218.1" customHeight="1" outlineLevel="2" spans="1:10">
      <c r="A26" s="205" t="s">
        <v>85</v>
      </c>
      <c r="B26" s="195" t="s">
        <v>86</v>
      </c>
      <c r="C26" s="195" t="s">
        <v>87</v>
      </c>
      <c r="D26" s="195" t="s">
        <v>88</v>
      </c>
      <c r="E26" s="190" t="s">
        <v>25</v>
      </c>
      <c r="F26" s="197">
        <v>3</v>
      </c>
      <c r="G26" s="206">
        <v>11.5</v>
      </c>
      <c r="H26" s="193">
        <f t="shared" ref="H26:H32" si="1">F26*G26</f>
        <v>34.5</v>
      </c>
      <c r="I26" s="190" t="s">
        <v>89</v>
      </c>
      <c r="J26" s="223" t="s">
        <v>90</v>
      </c>
    </row>
    <row r="27" ht="228" customHeight="1" outlineLevel="2" spans="1:10">
      <c r="A27" s="205" t="s">
        <v>91</v>
      </c>
      <c r="B27" s="195" t="s">
        <v>92</v>
      </c>
      <c r="C27" s="195" t="s">
        <v>87</v>
      </c>
      <c r="D27" s="195" t="s">
        <v>93</v>
      </c>
      <c r="E27" s="190" t="s">
        <v>25</v>
      </c>
      <c r="F27" s="197">
        <v>1</v>
      </c>
      <c r="G27" s="206">
        <v>9.5</v>
      </c>
      <c r="H27" s="193">
        <f t="shared" si="1"/>
        <v>9.5</v>
      </c>
      <c r="I27" s="229" t="s">
        <v>51</v>
      </c>
      <c r="J27" s="223" t="s">
        <v>94</v>
      </c>
    </row>
    <row r="28" ht="198.95" customHeight="1" outlineLevel="2" spans="1:10">
      <c r="A28" s="205" t="s">
        <v>95</v>
      </c>
      <c r="B28" s="195" t="s">
        <v>96</v>
      </c>
      <c r="C28" s="195" t="s">
        <v>87</v>
      </c>
      <c r="D28" s="195" t="s">
        <v>97</v>
      </c>
      <c r="E28" s="190" t="s">
        <v>25</v>
      </c>
      <c r="F28" s="197">
        <v>1</v>
      </c>
      <c r="G28" s="206">
        <v>10.5</v>
      </c>
      <c r="H28" s="193">
        <f t="shared" si="1"/>
        <v>10.5</v>
      </c>
      <c r="I28" s="229" t="s">
        <v>51</v>
      </c>
      <c r="J28" s="223" t="s">
        <v>98</v>
      </c>
    </row>
    <row r="29" ht="278.1" customHeight="1" outlineLevel="2" spans="1:10">
      <c r="A29" s="205" t="s">
        <v>99</v>
      </c>
      <c r="B29" s="195" t="s">
        <v>100</v>
      </c>
      <c r="C29" s="195" t="s">
        <v>87</v>
      </c>
      <c r="D29" s="195" t="s">
        <v>101</v>
      </c>
      <c r="E29" s="190" t="s">
        <v>25</v>
      </c>
      <c r="F29" s="197">
        <v>1</v>
      </c>
      <c r="G29" s="206">
        <v>12.5</v>
      </c>
      <c r="H29" s="193">
        <f t="shared" si="1"/>
        <v>12.5</v>
      </c>
      <c r="I29" s="229" t="s">
        <v>51</v>
      </c>
      <c r="J29" s="223" t="s">
        <v>102</v>
      </c>
    </row>
    <row r="30" ht="179.1" customHeight="1" outlineLevel="2" spans="1:10">
      <c r="A30" s="205" t="s">
        <v>103</v>
      </c>
      <c r="B30" s="195" t="s">
        <v>104</v>
      </c>
      <c r="C30" s="195" t="s">
        <v>87</v>
      </c>
      <c r="D30" s="195" t="s">
        <v>105</v>
      </c>
      <c r="E30" s="190" t="s">
        <v>25</v>
      </c>
      <c r="F30" s="197">
        <v>1</v>
      </c>
      <c r="G30" s="206">
        <v>10</v>
      </c>
      <c r="H30" s="193">
        <f t="shared" si="1"/>
        <v>10</v>
      </c>
      <c r="I30" s="229" t="s">
        <v>51</v>
      </c>
      <c r="J30" s="223" t="s">
        <v>106</v>
      </c>
    </row>
    <row r="31" ht="182.1" customHeight="1" outlineLevel="2" spans="1:10">
      <c r="A31" s="205" t="s">
        <v>107</v>
      </c>
      <c r="B31" s="195" t="s">
        <v>108</v>
      </c>
      <c r="C31" s="195" t="s">
        <v>87</v>
      </c>
      <c r="D31" s="195" t="s">
        <v>109</v>
      </c>
      <c r="E31" s="190" t="s">
        <v>25</v>
      </c>
      <c r="F31" s="197">
        <v>1</v>
      </c>
      <c r="G31" s="206">
        <v>8</v>
      </c>
      <c r="H31" s="193">
        <f t="shared" si="1"/>
        <v>8</v>
      </c>
      <c r="I31" s="229" t="s">
        <v>51</v>
      </c>
      <c r="J31" s="223" t="s">
        <v>110</v>
      </c>
    </row>
    <row r="32" ht="45" customHeight="1" outlineLevel="2" spans="1:10">
      <c r="A32" s="205" t="s">
        <v>111</v>
      </c>
      <c r="B32" s="195" t="s">
        <v>112</v>
      </c>
      <c r="C32" s="195" t="s">
        <v>62</v>
      </c>
      <c r="D32" s="195" t="s">
        <v>113</v>
      </c>
      <c r="E32" s="190" t="s">
        <v>25</v>
      </c>
      <c r="F32" s="197">
        <v>2</v>
      </c>
      <c r="G32" s="206">
        <v>0.5</v>
      </c>
      <c r="H32" s="193">
        <f t="shared" si="1"/>
        <v>1</v>
      </c>
      <c r="I32" s="190" t="s">
        <v>114</v>
      </c>
      <c r="J32" s="223"/>
    </row>
    <row r="33" ht="29.1" customHeight="1" outlineLevel="1" spans="1:10">
      <c r="A33" s="188" t="s">
        <v>115</v>
      </c>
      <c r="B33" s="185" t="s">
        <v>116</v>
      </c>
      <c r="C33" s="185"/>
      <c r="D33" s="186"/>
      <c r="E33" s="186"/>
      <c r="F33" s="184"/>
      <c r="G33" s="184"/>
      <c r="H33" s="200">
        <f>SUM(H34:H41)</f>
        <v>54.05</v>
      </c>
      <c r="I33" s="198"/>
      <c r="J33" s="223"/>
    </row>
    <row r="34" ht="45" customHeight="1" outlineLevel="2" spans="1:10">
      <c r="A34" s="205" t="s">
        <v>117</v>
      </c>
      <c r="B34" s="195" t="s">
        <v>118</v>
      </c>
      <c r="C34" s="195" t="s">
        <v>119</v>
      </c>
      <c r="D34" s="195" t="s">
        <v>120</v>
      </c>
      <c r="E34" s="190" t="s">
        <v>19</v>
      </c>
      <c r="F34" s="190">
        <v>1</v>
      </c>
      <c r="G34" s="206">
        <v>7.5</v>
      </c>
      <c r="H34" s="193">
        <f>F34*G34</f>
        <v>7.5</v>
      </c>
      <c r="I34" s="229" t="s">
        <v>51</v>
      </c>
      <c r="J34" s="223" t="s">
        <v>121</v>
      </c>
    </row>
    <row r="35" ht="45" customHeight="1" outlineLevel="2" spans="1:10">
      <c r="A35" s="205" t="s">
        <v>122</v>
      </c>
      <c r="B35" s="195" t="s">
        <v>123</v>
      </c>
      <c r="C35" s="195" t="s">
        <v>119</v>
      </c>
      <c r="D35" s="195" t="s">
        <v>124</v>
      </c>
      <c r="E35" s="190" t="s">
        <v>19</v>
      </c>
      <c r="F35" s="190">
        <v>1</v>
      </c>
      <c r="G35" s="206">
        <v>8</v>
      </c>
      <c r="H35" s="193">
        <f t="shared" ref="H35:H41" si="2">F35*G35</f>
        <v>8</v>
      </c>
      <c r="I35" s="229" t="s">
        <v>51</v>
      </c>
      <c r="J35" s="223" t="s">
        <v>125</v>
      </c>
    </row>
    <row r="36" ht="93" customHeight="1" outlineLevel="2" spans="1:10">
      <c r="A36" s="205" t="s">
        <v>126</v>
      </c>
      <c r="B36" s="195" t="s">
        <v>127</v>
      </c>
      <c r="C36" s="195" t="s">
        <v>119</v>
      </c>
      <c r="D36" s="195" t="s">
        <v>128</v>
      </c>
      <c r="E36" s="190" t="s">
        <v>19</v>
      </c>
      <c r="F36" s="190">
        <v>1</v>
      </c>
      <c r="G36" s="206">
        <v>9.75</v>
      </c>
      <c r="H36" s="193">
        <f t="shared" si="2"/>
        <v>9.75</v>
      </c>
      <c r="I36" s="229" t="s">
        <v>51</v>
      </c>
      <c r="J36" s="223" t="s">
        <v>129</v>
      </c>
    </row>
    <row r="37" ht="144" customHeight="1" outlineLevel="2" spans="1:10">
      <c r="A37" s="205" t="s">
        <v>130</v>
      </c>
      <c r="B37" s="195" t="s">
        <v>131</v>
      </c>
      <c r="C37" s="195" t="s">
        <v>119</v>
      </c>
      <c r="D37" s="195" t="s">
        <v>132</v>
      </c>
      <c r="E37" s="190" t="s">
        <v>19</v>
      </c>
      <c r="F37" s="190">
        <v>1</v>
      </c>
      <c r="G37" s="206">
        <v>8</v>
      </c>
      <c r="H37" s="193">
        <f t="shared" si="2"/>
        <v>8</v>
      </c>
      <c r="I37" s="229" t="s">
        <v>51</v>
      </c>
      <c r="J37" s="223" t="s">
        <v>133</v>
      </c>
    </row>
    <row r="38" ht="87.95" customHeight="1" outlineLevel="2" spans="1:10">
      <c r="A38" s="205" t="s">
        <v>134</v>
      </c>
      <c r="B38" s="195" t="s">
        <v>135</v>
      </c>
      <c r="C38" s="195" t="s">
        <v>119</v>
      </c>
      <c r="D38" s="195" t="s">
        <v>136</v>
      </c>
      <c r="E38" s="190" t="s">
        <v>19</v>
      </c>
      <c r="F38" s="190">
        <v>1</v>
      </c>
      <c r="G38" s="206">
        <v>9.75</v>
      </c>
      <c r="H38" s="193">
        <f t="shared" si="2"/>
        <v>9.75</v>
      </c>
      <c r="I38" s="229" t="s">
        <v>51</v>
      </c>
      <c r="J38" s="223" t="s">
        <v>137</v>
      </c>
    </row>
    <row r="39" ht="87.95" customHeight="1" outlineLevel="2" spans="1:10">
      <c r="A39" s="205" t="s">
        <v>138</v>
      </c>
      <c r="B39" s="195" t="s">
        <v>139</v>
      </c>
      <c r="C39" s="195" t="s">
        <v>119</v>
      </c>
      <c r="D39" s="195" t="s">
        <v>140</v>
      </c>
      <c r="E39" s="190" t="s">
        <v>19</v>
      </c>
      <c r="F39" s="190">
        <v>1</v>
      </c>
      <c r="G39" s="206">
        <v>5</v>
      </c>
      <c r="H39" s="193">
        <f t="shared" si="2"/>
        <v>5</v>
      </c>
      <c r="I39" s="229" t="s">
        <v>51</v>
      </c>
      <c r="J39" s="223" t="s">
        <v>141</v>
      </c>
    </row>
    <row r="40" ht="105.95" customHeight="1" outlineLevel="2" spans="1:10">
      <c r="A40" s="205" t="s">
        <v>142</v>
      </c>
      <c r="B40" s="195" t="s">
        <v>143</v>
      </c>
      <c r="C40" s="195" t="s">
        <v>119</v>
      </c>
      <c r="D40" s="195" t="s">
        <v>144</v>
      </c>
      <c r="E40" s="190" t="s">
        <v>19</v>
      </c>
      <c r="F40" s="190">
        <v>1</v>
      </c>
      <c r="G40" s="206">
        <v>5.05</v>
      </c>
      <c r="H40" s="193">
        <f t="shared" si="2"/>
        <v>5.05</v>
      </c>
      <c r="I40" s="229" t="s">
        <v>51</v>
      </c>
      <c r="J40" s="223" t="s">
        <v>145</v>
      </c>
    </row>
    <row r="41" ht="45" customHeight="1" outlineLevel="2" spans="1:10">
      <c r="A41" s="205" t="s">
        <v>146</v>
      </c>
      <c r="B41" s="195" t="s">
        <v>147</v>
      </c>
      <c r="C41" s="195" t="s">
        <v>62</v>
      </c>
      <c r="D41" s="195" t="s">
        <v>148</v>
      </c>
      <c r="E41" s="190" t="s">
        <v>19</v>
      </c>
      <c r="F41" s="190">
        <v>1</v>
      </c>
      <c r="G41" s="206">
        <v>1</v>
      </c>
      <c r="H41" s="193">
        <f t="shared" si="2"/>
        <v>1</v>
      </c>
      <c r="I41" s="229" t="s">
        <v>51</v>
      </c>
      <c r="J41" s="223" t="s">
        <v>149</v>
      </c>
    </row>
    <row r="42" ht="29.1" customHeight="1" spans="1:10">
      <c r="A42" s="207">
        <v>2</v>
      </c>
      <c r="B42" s="208" t="s">
        <v>150</v>
      </c>
      <c r="C42" s="208"/>
      <c r="D42" s="209"/>
      <c r="E42" s="210"/>
      <c r="F42" s="207"/>
      <c r="G42" s="207" t="s">
        <v>151</v>
      </c>
      <c r="H42" s="211">
        <f>SUM(H43:H55)/2</f>
        <v>2139.45</v>
      </c>
      <c r="I42" s="134"/>
      <c r="J42" s="223"/>
    </row>
    <row r="43" ht="24" customHeight="1" outlineLevel="1" spans="1:10">
      <c r="A43" s="212" t="s">
        <v>152</v>
      </c>
      <c r="B43" s="213" t="s">
        <v>153</v>
      </c>
      <c r="C43" s="213"/>
      <c r="D43" s="212"/>
      <c r="E43" s="212"/>
      <c r="F43" s="212"/>
      <c r="G43" s="100"/>
      <c r="H43" s="214">
        <f>SUM(H44:H48)</f>
        <v>2043</v>
      </c>
      <c r="I43" s="230"/>
      <c r="J43" s="223"/>
    </row>
    <row r="44" ht="45" customHeight="1" outlineLevel="2" spans="1:11">
      <c r="A44" s="215" t="s">
        <v>154</v>
      </c>
      <c r="B44" s="216" t="s">
        <v>155</v>
      </c>
      <c r="C44" s="216" t="s">
        <v>23</v>
      </c>
      <c r="D44" s="217" t="s">
        <v>156</v>
      </c>
      <c r="E44" s="134" t="s">
        <v>25</v>
      </c>
      <c r="F44" s="218">
        <v>48</v>
      </c>
      <c r="G44" s="219">
        <v>28</v>
      </c>
      <c r="H44" s="220">
        <f>F44*G44</f>
        <v>1344</v>
      </c>
      <c r="I44" s="231"/>
      <c r="J44" s="223" t="s">
        <v>157</v>
      </c>
      <c r="K44">
        <f>F44*4+F45*6+F46*12+F47*4+F48</f>
        <v>298</v>
      </c>
    </row>
    <row r="45" ht="45" customHeight="1" outlineLevel="2" spans="1:10">
      <c r="A45" s="215" t="s">
        <v>158</v>
      </c>
      <c r="B45" s="216" t="s">
        <v>159</v>
      </c>
      <c r="C45" s="216" t="s">
        <v>23</v>
      </c>
      <c r="D45" s="221"/>
      <c r="E45" s="134" t="s">
        <v>25</v>
      </c>
      <c r="F45" s="218">
        <v>3</v>
      </c>
      <c r="G45" s="219">
        <v>41</v>
      </c>
      <c r="H45" s="220">
        <f>F45*G45</f>
        <v>123</v>
      </c>
      <c r="I45" s="231"/>
      <c r="J45" s="223" t="s">
        <v>157</v>
      </c>
    </row>
    <row r="46" ht="45" customHeight="1" outlineLevel="2" spans="1:10">
      <c r="A46" s="215" t="s">
        <v>160</v>
      </c>
      <c r="B46" s="216" t="s">
        <v>161</v>
      </c>
      <c r="C46" s="216" t="s">
        <v>23</v>
      </c>
      <c r="D46" s="221"/>
      <c r="E46" s="134" t="s">
        <v>25</v>
      </c>
      <c r="F46" s="218">
        <v>1</v>
      </c>
      <c r="G46" s="219">
        <v>80</v>
      </c>
      <c r="H46" s="220">
        <f>F46*G46</f>
        <v>80</v>
      </c>
      <c r="I46" s="223" t="s">
        <v>162</v>
      </c>
      <c r="J46" s="223" t="s">
        <v>163</v>
      </c>
    </row>
    <row r="47" ht="45" customHeight="1" outlineLevel="2" spans="1:10">
      <c r="A47" s="215" t="s">
        <v>164</v>
      </c>
      <c r="B47" s="216" t="s">
        <v>165</v>
      </c>
      <c r="C47" s="216" t="s">
        <v>23</v>
      </c>
      <c r="D47" s="221"/>
      <c r="E47" s="134" t="s">
        <v>25</v>
      </c>
      <c r="F47" s="218">
        <v>1</v>
      </c>
      <c r="G47" s="219">
        <f>G44</f>
        <v>28</v>
      </c>
      <c r="H47" s="220">
        <f>F47*G47</f>
        <v>28</v>
      </c>
      <c r="I47" s="231"/>
      <c r="J47" s="223" t="s">
        <v>166</v>
      </c>
    </row>
    <row r="48" ht="45" customHeight="1" outlineLevel="2" spans="1:10">
      <c r="A48" s="215" t="s">
        <v>167</v>
      </c>
      <c r="B48" s="216" t="s">
        <v>168</v>
      </c>
      <c r="C48" s="216" t="s">
        <v>23</v>
      </c>
      <c r="D48" s="222"/>
      <c r="E48" s="134" t="s">
        <v>169</v>
      </c>
      <c r="F48" s="218">
        <v>72</v>
      </c>
      <c r="G48" s="219">
        <v>6.5</v>
      </c>
      <c r="H48" s="220">
        <f>F48*G48</f>
        <v>468</v>
      </c>
      <c r="I48" s="231"/>
      <c r="J48" s="223" t="s">
        <v>170</v>
      </c>
    </row>
    <row r="49" ht="26.1" customHeight="1" outlineLevel="1" spans="1:10">
      <c r="A49" s="212" t="s">
        <v>171</v>
      </c>
      <c r="B49" s="213" t="s">
        <v>172</v>
      </c>
      <c r="C49" s="213"/>
      <c r="D49" s="212"/>
      <c r="E49" s="212"/>
      <c r="F49" s="212"/>
      <c r="G49" s="100"/>
      <c r="H49" s="214">
        <f>SUM(H50:H51)</f>
        <v>35.3</v>
      </c>
      <c r="I49" s="230"/>
      <c r="J49" s="223"/>
    </row>
    <row r="50" ht="36.95" customHeight="1" outlineLevel="2" spans="1:10">
      <c r="A50" s="215" t="s">
        <v>173</v>
      </c>
      <c r="B50" s="223" t="s">
        <v>174</v>
      </c>
      <c r="C50" s="216" t="s">
        <v>23</v>
      </c>
      <c r="D50" s="223" t="s">
        <v>175</v>
      </c>
      <c r="E50" s="218" t="s">
        <v>25</v>
      </c>
      <c r="F50" s="218">
        <f>25-9</f>
        <v>16</v>
      </c>
      <c r="G50" s="219">
        <v>0.8</v>
      </c>
      <c r="H50" s="220">
        <f>F50*G50</f>
        <v>12.8</v>
      </c>
      <c r="I50" s="232"/>
      <c r="J50" s="223" t="s">
        <v>176</v>
      </c>
    </row>
    <row r="51" ht="36.95" customHeight="1" outlineLevel="2" spans="1:10">
      <c r="A51" s="215" t="s">
        <v>177</v>
      </c>
      <c r="B51" s="223" t="s">
        <v>178</v>
      </c>
      <c r="C51" s="134" t="s">
        <v>179</v>
      </c>
      <c r="D51" s="223" t="s">
        <v>180</v>
      </c>
      <c r="E51" s="218" t="s">
        <v>25</v>
      </c>
      <c r="F51" s="218">
        <v>9</v>
      </c>
      <c r="G51" s="219">
        <v>2.5</v>
      </c>
      <c r="H51" s="220">
        <f>F51*G51</f>
        <v>22.5</v>
      </c>
      <c r="I51" s="232"/>
      <c r="J51" s="223" t="s">
        <v>181</v>
      </c>
    </row>
    <row r="52" ht="27.95" customHeight="1" outlineLevel="1" spans="1:10">
      <c r="A52" s="212" t="s">
        <v>182</v>
      </c>
      <c r="B52" s="213" t="s">
        <v>183</v>
      </c>
      <c r="C52" s="213"/>
      <c r="D52" s="212"/>
      <c r="E52" s="212"/>
      <c r="F52" s="212"/>
      <c r="G52" s="100"/>
      <c r="H52" s="214">
        <f>SUM(H53:H55)</f>
        <v>61.15</v>
      </c>
      <c r="I52" s="230"/>
      <c r="J52" s="223"/>
    </row>
    <row r="53" ht="36.95" customHeight="1" outlineLevel="2" spans="1:10">
      <c r="A53" s="215" t="s">
        <v>184</v>
      </c>
      <c r="B53" s="223" t="s">
        <v>185</v>
      </c>
      <c r="C53" s="216" t="s">
        <v>23</v>
      </c>
      <c r="D53" s="223" t="s">
        <v>186</v>
      </c>
      <c r="E53" s="218" t="s">
        <v>25</v>
      </c>
      <c r="F53" s="218">
        <v>116</v>
      </c>
      <c r="G53" s="219">
        <v>0.25</v>
      </c>
      <c r="H53" s="220">
        <f>F53*G53</f>
        <v>29</v>
      </c>
      <c r="I53" s="233"/>
      <c r="J53" s="223" t="s">
        <v>187</v>
      </c>
    </row>
    <row r="54" ht="36.95" customHeight="1" outlineLevel="2" spans="1:10">
      <c r="A54" s="215" t="s">
        <v>188</v>
      </c>
      <c r="B54" s="223" t="s">
        <v>189</v>
      </c>
      <c r="C54" s="216" t="s">
        <v>23</v>
      </c>
      <c r="D54" s="223" t="s">
        <v>190</v>
      </c>
      <c r="E54" s="218" t="s">
        <v>25</v>
      </c>
      <c r="F54" s="218">
        <v>62</v>
      </c>
      <c r="G54" s="219">
        <v>0.2</v>
      </c>
      <c r="H54" s="220">
        <f>F54*G54</f>
        <v>12.4</v>
      </c>
      <c r="I54" s="233"/>
      <c r="J54" s="223" t="s">
        <v>191</v>
      </c>
    </row>
    <row r="55" ht="36.95" customHeight="1" outlineLevel="2" spans="1:10">
      <c r="A55" s="215" t="s">
        <v>192</v>
      </c>
      <c r="B55" s="223" t="s">
        <v>193</v>
      </c>
      <c r="C55" s="134" t="s">
        <v>179</v>
      </c>
      <c r="D55" s="223" t="s">
        <v>194</v>
      </c>
      <c r="E55" s="218" t="s">
        <v>195</v>
      </c>
      <c r="F55" s="218">
        <v>79</v>
      </c>
      <c r="G55" s="219">
        <v>0.25</v>
      </c>
      <c r="H55" s="220">
        <f>F55*G55</f>
        <v>19.75</v>
      </c>
      <c r="I55" s="218"/>
      <c r="J55" s="223" t="s">
        <v>196</v>
      </c>
    </row>
    <row r="56" ht="24" customHeight="1" spans="1:10">
      <c r="A56" s="198">
        <v>3</v>
      </c>
      <c r="B56" s="224" t="s">
        <v>197</v>
      </c>
      <c r="C56" s="224"/>
      <c r="D56" s="224"/>
      <c r="E56" s="224"/>
      <c r="F56" s="224"/>
      <c r="G56" s="184" t="s">
        <v>198</v>
      </c>
      <c r="H56" s="187">
        <f>SUM(H57:H63)/2</f>
        <v>377.8</v>
      </c>
      <c r="I56" s="224"/>
      <c r="J56" s="223"/>
    </row>
    <row r="57" ht="27.95" customHeight="1" outlineLevel="1" spans="1:10">
      <c r="A57" s="188" t="s">
        <v>199</v>
      </c>
      <c r="B57" s="224" t="s">
        <v>200</v>
      </c>
      <c r="C57" s="224"/>
      <c r="D57" s="224"/>
      <c r="E57" s="224"/>
      <c r="F57" s="224"/>
      <c r="G57" s="198"/>
      <c r="H57" s="187">
        <f>SUM(H58:H59)</f>
        <v>317.4</v>
      </c>
      <c r="I57" s="224"/>
      <c r="J57" s="223"/>
    </row>
    <row r="58" ht="93" customHeight="1" outlineLevel="2" spans="1:10">
      <c r="A58" s="205" t="s">
        <v>201</v>
      </c>
      <c r="B58" s="191" t="s">
        <v>202</v>
      </c>
      <c r="C58" s="225" t="s">
        <v>203</v>
      </c>
      <c r="D58" s="226" t="s">
        <v>204</v>
      </c>
      <c r="E58" s="197" t="s">
        <v>25</v>
      </c>
      <c r="F58" s="190">
        <v>18</v>
      </c>
      <c r="G58" s="192">
        <v>4.1</v>
      </c>
      <c r="H58" s="193">
        <f t="shared" ref="H58:H63" si="3">F58*G58</f>
        <v>73.8</v>
      </c>
      <c r="I58" s="191"/>
      <c r="J58" s="223" t="s">
        <v>205</v>
      </c>
    </row>
    <row r="59" ht="93" customHeight="1" outlineLevel="2" spans="1:10">
      <c r="A59" s="205" t="s">
        <v>206</v>
      </c>
      <c r="B59" s="191" t="s">
        <v>207</v>
      </c>
      <c r="C59" s="225" t="s">
        <v>203</v>
      </c>
      <c r="D59" s="227"/>
      <c r="E59" s="197" t="s">
        <v>25</v>
      </c>
      <c r="F59" s="190">
        <v>84</v>
      </c>
      <c r="G59" s="192">
        <v>2.9</v>
      </c>
      <c r="H59" s="193">
        <f t="shared" si="3"/>
        <v>243.6</v>
      </c>
      <c r="I59" s="191"/>
      <c r="J59" s="223" t="s">
        <v>208</v>
      </c>
    </row>
    <row r="60" ht="27.95" customHeight="1" outlineLevel="1" spans="1:10">
      <c r="A60" s="188" t="s">
        <v>209</v>
      </c>
      <c r="B60" s="224" t="s">
        <v>210</v>
      </c>
      <c r="C60" s="224"/>
      <c r="D60" s="224"/>
      <c r="E60" s="224"/>
      <c r="F60" s="224"/>
      <c r="G60" s="198"/>
      <c r="H60" s="187">
        <f>SUM(H61:H63)</f>
        <v>60.4</v>
      </c>
      <c r="I60" s="224"/>
      <c r="J60" s="223"/>
    </row>
    <row r="61" ht="35.1" customHeight="1" outlineLevel="2" spans="1:10">
      <c r="A61" s="205" t="s">
        <v>211</v>
      </c>
      <c r="B61" s="191" t="s">
        <v>212</v>
      </c>
      <c r="C61" s="191" t="s">
        <v>179</v>
      </c>
      <c r="D61" s="191" t="s">
        <v>213</v>
      </c>
      <c r="E61" s="197" t="s">
        <v>25</v>
      </c>
      <c r="F61" s="190">
        <v>14</v>
      </c>
      <c r="G61" s="192">
        <v>1</v>
      </c>
      <c r="H61" s="193">
        <f t="shared" si="3"/>
        <v>14</v>
      </c>
      <c r="I61" s="191"/>
      <c r="J61" s="223" t="s">
        <v>214</v>
      </c>
    </row>
    <row r="62" ht="35.1" customHeight="1" outlineLevel="2" spans="1:10">
      <c r="A62" s="205" t="s">
        <v>215</v>
      </c>
      <c r="B62" s="191" t="s">
        <v>216</v>
      </c>
      <c r="C62" s="191" t="s">
        <v>179</v>
      </c>
      <c r="D62" s="191" t="s">
        <v>217</v>
      </c>
      <c r="E62" s="197" t="s">
        <v>25</v>
      </c>
      <c r="F62" s="190">
        <v>8</v>
      </c>
      <c r="G62" s="192">
        <v>0.8</v>
      </c>
      <c r="H62" s="193">
        <f t="shared" si="3"/>
        <v>6.4</v>
      </c>
      <c r="I62" s="191"/>
      <c r="J62" s="223" t="s">
        <v>218</v>
      </c>
    </row>
    <row r="63" ht="35.1" customHeight="1" outlineLevel="2" spans="1:10">
      <c r="A63" s="205" t="s">
        <v>219</v>
      </c>
      <c r="B63" s="191" t="s">
        <v>220</v>
      </c>
      <c r="C63" s="191" t="s">
        <v>179</v>
      </c>
      <c r="D63" s="191" t="s">
        <v>221</v>
      </c>
      <c r="E63" s="197" t="s">
        <v>25</v>
      </c>
      <c r="F63" s="190">
        <v>80</v>
      </c>
      <c r="G63" s="192">
        <v>0.5</v>
      </c>
      <c r="H63" s="193">
        <f t="shared" si="3"/>
        <v>40</v>
      </c>
      <c r="I63" s="191"/>
      <c r="J63" s="223" t="s">
        <v>218</v>
      </c>
    </row>
    <row r="64" ht="29.1" customHeight="1" spans="1:10">
      <c r="A64" s="207">
        <v>4</v>
      </c>
      <c r="B64" s="208" t="s">
        <v>222</v>
      </c>
      <c r="C64" s="208"/>
      <c r="D64" s="208"/>
      <c r="E64" s="207"/>
      <c r="F64" s="207"/>
      <c r="G64" s="207" t="s">
        <v>223</v>
      </c>
      <c r="H64" s="211">
        <f>SUM(H65:H80)/2</f>
        <v>1607.24</v>
      </c>
      <c r="I64" s="208"/>
      <c r="J64" s="223"/>
    </row>
    <row r="65" ht="24" customHeight="1" outlineLevel="1" spans="1:10">
      <c r="A65" s="212" t="s">
        <v>224</v>
      </c>
      <c r="B65" s="208" t="s">
        <v>225</v>
      </c>
      <c r="C65" s="208"/>
      <c r="D65" s="208"/>
      <c r="E65" s="207"/>
      <c r="F65" s="207"/>
      <c r="G65" s="234"/>
      <c r="H65" s="211">
        <f>SUM(H66:H72)</f>
        <v>1459.99</v>
      </c>
      <c r="I65" s="208"/>
      <c r="J65" s="223"/>
    </row>
    <row r="66" ht="32.1" customHeight="1" outlineLevel="2" spans="1:10">
      <c r="A66" s="235" t="s">
        <v>226</v>
      </c>
      <c r="B66" s="236" t="s">
        <v>227</v>
      </c>
      <c r="C66" s="216" t="s">
        <v>23</v>
      </c>
      <c r="D66" s="237" t="s">
        <v>228</v>
      </c>
      <c r="E66" s="108" t="s">
        <v>25</v>
      </c>
      <c r="F66" s="108">
        <v>4000</v>
      </c>
      <c r="G66" s="238">
        <v>0.315</v>
      </c>
      <c r="H66" s="239">
        <f t="shared" ref="H66:H72" si="4">F66*G66</f>
        <v>1260</v>
      </c>
      <c r="I66" s="236"/>
      <c r="J66" s="223" t="s">
        <v>229</v>
      </c>
    </row>
    <row r="67" ht="32.1" customHeight="1" outlineLevel="2" spans="1:10">
      <c r="A67" s="235" t="s">
        <v>230</v>
      </c>
      <c r="B67" s="236" t="s">
        <v>231</v>
      </c>
      <c r="C67" s="216" t="s">
        <v>23</v>
      </c>
      <c r="D67" s="237" t="s">
        <v>232</v>
      </c>
      <c r="E67" s="108" t="s">
        <v>25</v>
      </c>
      <c r="F67" s="108">
        <v>38</v>
      </c>
      <c r="G67" s="238">
        <v>0.42</v>
      </c>
      <c r="H67" s="239">
        <f t="shared" si="4"/>
        <v>15.96</v>
      </c>
      <c r="I67" s="236"/>
      <c r="J67" s="223" t="s">
        <v>233</v>
      </c>
    </row>
    <row r="68" ht="32.1" customHeight="1" outlineLevel="2" spans="1:10">
      <c r="A68" s="235" t="s">
        <v>234</v>
      </c>
      <c r="B68" s="236" t="s">
        <v>235</v>
      </c>
      <c r="C68" s="216" t="s">
        <v>23</v>
      </c>
      <c r="D68" s="237" t="s">
        <v>236</v>
      </c>
      <c r="E68" s="108" t="s">
        <v>25</v>
      </c>
      <c r="F68" s="108">
        <v>45</v>
      </c>
      <c r="G68" s="238">
        <v>0.5</v>
      </c>
      <c r="H68" s="239">
        <f t="shared" si="4"/>
        <v>22.5</v>
      </c>
      <c r="I68" s="236"/>
      <c r="J68" s="223" t="s">
        <v>237</v>
      </c>
    </row>
    <row r="69" ht="32.1" customHeight="1" outlineLevel="2" spans="1:10">
      <c r="A69" s="235" t="s">
        <v>238</v>
      </c>
      <c r="B69" s="236" t="s">
        <v>239</v>
      </c>
      <c r="C69" s="216" t="s">
        <v>23</v>
      </c>
      <c r="D69" s="237" t="s">
        <v>240</v>
      </c>
      <c r="E69" s="108" t="s">
        <v>25</v>
      </c>
      <c r="F69" s="108">
        <v>2000</v>
      </c>
      <c r="G69" s="238">
        <v>0.015</v>
      </c>
      <c r="H69" s="239">
        <f t="shared" si="4"/>
        <v>30</v>
      </c>
      <c r="I69" s="236"/>
      <c r="J69" s="223" t="s">
        <v>241</v>
      </c>
    </row>
    <row r="70" ht="32.1" customHeight="1" outlineLevel="2" spans="1:10">
      <c r="A70" s="235" t="s">
        <v>242</v>
      </c>
      <c r="B70" s="236" t="s">
        <v>243</v>
      </c>
      <c r="C70" s="216" t="s">
        <v>23</v>
      </c>
      <c r="D70" s="237" t="s">
        <v>240</v>
      </c>
      <c r="E70" s="108" t="s">
        <v>25</v>
      </c>
      <c r="F70" s="108">
        <v>100</v>
      </c>
      <c r="G70" s="238">
        <v>0.06</v>
      </c>
      <c r="H70" s="239">
        <f t="shared" si="4"/>
        <v>6</v>
      </c>
      <c r="I70" s="236"/>
      <c r="J70" s="223" t="s">
        <v>244</v>
      </c>
    </row>
    <row r="71" ht="24" customHeight="1" outlineLevel="2" spans="1:10">
      <c r="A71" s="235" t="s">
        <v>245</v>
      </c>
      <c r="B71" s="236" t="s">
        <v>246</v>
      </c>
      <c r="C71" s="236" t="s">
        <v>179</v>
      </c>
      <c r="D71" s="237" t="s">
        <v>247</v>
      </c>
      <c r="E71" s="108" t="s">
        <v>248</v>
      </c>
      <c r="F71" s="108">
        <f>F67</f>
        <v>38</v>
      </c>
      <c r="G71" s="238">
        <v>0.08</v>
      </c>
      <c r="H71" s="239">
        <f t="shared" si="4"/>
        <v>3.04</v>
      </c>
      <c r="I71" s="236"/>
      <c r="J71" s="223"/>
    </row>
    <row r="72" ht="41.1" customHeight="1" outlineLevel="2" spans="1:10">
      <c r="A72" s="235" t="s">
        <v>249</v>
      </c>
      <c r="B72" s="236" t="s">
        <v>250</v>
      </c>
      <c r="C72" s="216" t="s">
        <v>71</v>
      </c>
      <c r="D72" s="237" t="s">
        <v>251</v>
      </c>
      <c r="E72" s="108" t="s">
        <v>252</v>
      </c>
      <c r="F72" s="108">
        <f>F68+F66+F67</f>
        <v>4083</v>
      </c>
      <c r="G72" s="240">
        <v>0.03</v>
      </c>
      <c r="H72" s="239">
        <f t="shared" si="4"/>
        <v>122.49</v>
      </c>
      <c r="I72" s="236"/>
      <c r="J72" s="223" t="s">
        <v>253</v>
      </c>
    </row>
    <row r="73" ht="21" customHeight="1" outlineLevel="1" spans="1:9">
      <c r="A73" s="212" t="s">
        <v>254</v>
      </c>
      <c r="B73" s="208" t="s">
        <v>255</v>
      </c>
      <c r="C73" s="208"/>
      <c r="D73" s="208"/>
      <c r="E73" s="207"/>
      <c r="F73" s="207"/>
      <c r="G73" s="234"/>
      <c r="H73" s="211">
        <f>SUM(H74)</f>
        <v>37.5</v>
      </c>
      <c r="I73" s="208"/>
    </row>
    <row r="74" ht="30.95" customHeight="1" outlineLevel="2" spans="1:10">
      <c r="A74" s="215" t="s">
        <v>256</v>
      </c>
      <c r="B74" s="241" t="s">
        <v>257</v>
      </c>
      <c r="C74" s="216" t="s">
        <v>23</v>
      </c>
      <c r="D74" s="223" t="s">
        <v>258</v>
      </c>
      <c r="E74" s="218" t="s">
        <v>25</v>
      </c>
      <c r="F74" s="218">
        <v>5</v>
      </c>
      <c r="G74" s="242">
        <v>7.5</v>
      </c>
      <c r="H74" s="243">
        <f>F74*G74</f>
        <v>37.5</v>
      </c>
      <c r="I74" s="241"/>
      <c r="J74" s="223" t="s">
        <v>259</v>
      </c>
    </row>
    <row r="75" ht="24" customHeight="1" outlineLevel="1" spans="1:10">
      <c r="A75" s="212" t="s">
        <v>260</v>
      </c>
      <c r="B75" s="244" t="s">
        <v>261</v>
      </c>
      <c r="C75" s="244"/>
      <c r="D75" s="244"/>
      <c r="E75" s="245"/>
      <c r="F75" s="245"/>
      <c r="G75" s="245"/>
      <c r="H75" s="211">
        <f>SUM(H76:H78)</f>
        <v>44.75</v>
      </c>
      <c r="I75" s="245"/>
      <c r="J75" s="223"/>
    </row>
    <row r="76" ht="36" customHeight="1" outlineLevel="2" spans="1:10">
      <c r="A76" s="215" t="s">
        <v>262</v>
      </c>
      <c r="B76" s="237" t="s">
        <v>263</v>
      </c>
      <c r="C76" s="216" t="s">
        <v>23</v>
      </c>
      <c r="D76" s="237" t="s">
        <v>264</v>
      </c>
      <c r="E76" s="218" t="s">
        <v>25</v>
      </c>
      <c r="F76" s="218">
        <v>5</v>
      </c>
      <c r="G76" s="219">
        <v>6.85</v>
      </c>
      <c r="H76" s="220">
        <f>F76*G76</f>
        <v>34.25</v>
      </c>
      <c r="I76" s="134" t="s">
        <v>265</v>
      </c>
      <c r="J76" s="223" t="s">
        <v>266</v>
      </c>
    </row>
    <row r="77" ht="36" customHeight="1" outlineLevel="2" spans="1:10">
      <c r="A77" s="215" t="s">
        <v>267</v>
      </c>
      <c r="B77" s="237" t="s">
        <v>268</v>
      </c>
      <c r="C77" s="216" t="s">
        <v>23</v>
      </c>
      <c r="D77" s="237" t="s">
        <v>269</v>
      </c>
      <c r="E77" s="218" t="s">
        <v>25</v>
      </c>
      <c r="F77" s="218">
        <v>1</v>
      </c>
      <c r="G77" s="219">
        <v>5</v>
      </c>
      <c r="H77" s="220">
        <f t="shared" ref="H77:H78" si="5">F77*G77</f>
        <v>5</v>
      </c>
      <c r="I77" s="257" t="s">
        <v>270</v>
      </c>
      <c r="J77" s="223" t="s">
        <v>271</v>
      </c>
    </row>
    <row r="78" ht="164.1" customHeight="1" outlineLevel="2" spans="1:10">
      <c r="A78" s="215" t="s">
        <v>272</v>
      </c>
      <c r="B78" s="237" t="s">
        <v>273</v>
      </c>
      <c r="C78" s="216" t="s">
        <v>23</v>
      </c>
      <c r="D78" s="237" t="s">
        <v>274</v>
      </c>
      <c r="E78" s="218" t="s">
        <v>25</v>
      </c>
      <c r="F78" s="218">
        <v>1</v>
      </c>
      <c r="G78" s="219">
        <v>5.5</v>
      </c>
      <c r="H78" s="220">
        <f t="shared" si="5"/>
        <v>5.5</v>
      </c>
      <c r="I78" s="258"/>
      <c r="J78" s="223" t="s">
        <v>271</v>
      </c>
    </row>
    <row r="79" ht="24.95" customHeight="1" outlineLevel="1" spans="1:10">
      <c r="A79" s="212" t="s">
        <v>275</v>
      </c>
      <c r="B79" s="244" t="s">
        <v>276</v>
      </c>
      <c r="C79" s="244"/>
      <c r="D79" s="244"/>
      <c r="E79" s="245"/>
      <c r="F79" s="245"/>
      <c r="G79" s="245"/>
      <c r="H79" s="211">
        <f>H80</f>
        <v>65</v>
      </c>
      <c r="I79" s="245"/>
      <c r="J79" s="223"/>
    </row>
    <row r="80" ht="30.95" customHeight="1" outlineLevel="2" spans="1:10">
      <c r="A80" s="215" t="s">
        <v>277</v>
      </c>
      <c r="B80" s="237" t="s">
        <v>278</v>
      </c>
      <c r="C80" s="216" t="s">
        <v>23</v>
      </c>
      <c r="D80" s="237" t="s">
        <v>279</v>
      </c>
      <c r="E80" s="218" t="s">
        <v>169</v>
      </c>
      <c r="F80" s="218">
        <v>10</v>
      </c>
      <c r="G80" s="219">
        <v>6.5</v>
      </c>
      <c r="H80" s="220">
        <f>F80*G80</f>
        <v>65</v>
      </c>
      <c r="I80" s="258"/>
      <c r="J80" s="223" t="s">
        <v>280</v>
      </c>
    </row>
    <row r="81" ht="27.95" customHeight="1" spans="1:10">
      <c r="A81" s="184">
        <v>5</v>
      </c>
      <c r="B81" s="185" t="s">
        <v>281</v>
      </c>
      <c r="C81" s="185"/>
      <c r="D81" s="185"/>
      <c r="E81" s="184"/>
      <c r="F81" s="184"/>
      <c r="G81" s="184" t="s">
        <v>282</v>
      </c>
      <c r="H81" s="187">
        <f>SUM(H82:H90)/2</f>
        <v>365.1588</v>
      </c>
      <c r="I81" s="185"/>
      <c r="J81" s="223"/>
    </row>
    <row r="82" ht="24.95" customHeight="1" outlineLevel="1" spans="1:10">
      <c r="A82" s="188" t="s">
        <v>283</v>
      </c>
      <c r="B82" s="185" t="s">
        <v>284</v>
      </c>
      <c r="C82" s="185"/>
      <c r="D82" s="185"/>
      <c r="E82" s="184"/>
      <c r="F82" s="184"/>
      <c r="G82" s="189"/>
      <c r="H82" s="187">
        <f>SUM(H83:H84)</f>
        <v>99.15</v>
      </c>
      <c r="I82" s="185"/>
      <c r="J82" s="223"/>
    </row>
    <row r="83" ht="32.1" customHeight="1" outlineLevel="2" spans="1:10">
      <c r="A83" s="205" t="s">
        <v>285</v>
      </c>
      <c r="B83" s="246" t="s">
        <v>286</v>
      </c>
      <c r="C83" s="246" t="s">
        <v>287</v>
      </c>
      <c r="D83" s="191" t="s">
        <v>288</v>
      </c>
      <c r="E83" s="197" t="s">
        <v>289</v>
      </c>
      <c r="F83" s="197">
        <v>9</v>
      </c>
      <c r="G83" s="206">
        <v>6</v>
      </c>
      <c r="H83" s="247">
        <f>F83*G83</f>
        <v>54</v>
      </c>
      <c r="I83" s="246"/>
      <c r="J83" s="223" t="s">
        <v>290</v>
      </c>
    </row>
    <row r="84" ht="32.1" customHeight="1" outlineLevel="2" spans="1:11">
      <c r="A84" s="205" t="s">
        <v>291</v>
      </c>
      <c r="B84" s="191" t="s">
        <v>292</v>
      </c>
      <c r="C84" s="246" t="s">
        <v>287</v>
      </c>
      <c r="D84" s="191" t="s">
        <v>293</v>
      </c>
      <c r="E84" s="197" t="s">
        <v>289</v>
      </c>
      <c r="F84" s="197">
        <v>43</v>
      </c>
      <c r="G84" s="206">
        <f>0.35*3</f>
        <v>1.05</v>
      </c>
      <c r="H84" s="247">
        <f t="shared" ref="H84:H90" si="6">F84*G84</f>
        <v>45.15</v>
      </c>
      <c r="I84" s="229"/>
      <c r="J84" s="223" t="s">
        <v>294</v>
      </c>
      <c r="K84">
        <f>(1.2*24*365*0.65)*0.5</f>
        <v>3416.4</v>
      </c>
    </row>
    <row r="85" ht="26.1" customHeight="1" outlineLevel="1" spans="1:10">
      <c r="A85" s="188" t="s">
        <v>295</v>
      </c>
      <c r="B85" s="185" t="s">
        <v>296</v>
      </c>
      <c r="C85" s="185"/>
      <c r="D85" s="185"/>
      <c r="E85" s="184"/>
      <c r="F85" s="184"/>
      <c r="G85" s="189"/>
      <c r="H85" s="187">
        <f>SUM(H86:H87)</f>
        <v>148.68</v>
      </c>
      <c r="I85" s="185"/>
      <c r="J85" s="223"/>
    </row>
    <row r="86" ht="33" customHeight="1" outlineLevel="2" spans="1:10">
      <c r="A86" s="201" t="s">
        <v>297</v>
      </c>
      <c r="B86" s="195" t="s">
        <v>298</v>
      </c>
      <c r="C86" s="246" t="s">
        <v>299</v>
      </c>
      <c r="D86" s="195" t="s">
        <v>300</v>
      </c>
      <c r="E86" s="196" t="s">
        <v>301</v>
      </c>
      <c r="F86" s="196">
        <f>27+52*2</f>
        <v>131</v>
      </c>
      <c r="G86" s="204">
        <f>300*36/10000</f>
        <v>1.08</v>
      </c>
      <c r="H86" s="248">
        <f t="shared" si="6"/>
        <v>141.48</v>
      </c>
      <c r="I86" s="229" t="s">
        <v>302</v>
      </c>
      <c r="J86" s="223"/>
    </row>
    <row r="87" ht="33" customHeight="1" outlineLevel="2" spans="1:10">
      <c r="A87" s="201" t="s">
        <v>303</v>
      </c>
      <c r="B87" s="195" t="s">
        <v>298</v>
      </c>
      <c r="C87" s="246" t="s">
        <v>299</v>
      </c>
      <c r="D87" s="195" t="s">
        <v>304</v>
      </c>
      <c r="E87" s="196" t="s">
        <v>305</v>
      </c>
      <c r="F87" s="196">
        <v>2</v>
      </c>
      <c r="G87" s="204">
        <f>1000*36/10000</f>
        <v>3.6</v>
      </c>
      <c r="H87" s="248">
        <f t="shared" si="6"/>
        <v>7.2</v>
      </c>
      <c r="I87" s="246"/>
      <c r="J87" s="223"/>
    </row>
    <row r="88" ht="27.95" customHeight="1" outlineLevel="1" spans="1:10">
      <c r="A88" s="188" t="s">
        <v>306</v>
      </c>
      <c r="B88" s="185" t="s">
        <v>307</v>
      </c>
      <c r="C88" s="185"/>
      <c r="D88" s="185"/>
      <c r="E88" s="184"/>
      <c r="F88" s="184"/>
      <c r="G88" s="189"/>
      <c r="H88" s="187">
        <f>SUM(H89:H90)</f>
        <v>117.3288</v>
      </c>
      <c r="I88" s="185"/>
      <c r="J88" s="223"/>
    </row>
    <row r="89" ht="89.1" customHeight="1" outlineLevel="2" spans="1:10">
      <c r="A89" s="201" t="s">
        <v>308</v>
      </c>
      <c r="B89" s="249" t="s">
        <v>309</v>
      </c>
      <c r="C89" s="249" t="s">
        <v>179</v>
      </c>
      <c r="D89" s="195" t="s">
        <v>310</v>
      </c>
      <c r="E89" s="196" t="s">
        <v>311</v>
      </c>
      <c r="F89" s="196">
        <v>4</v>
      </c>
      <c r="G89" s="250">
        <f>0.6502*36</f>
        <v>23.4072</v>
      </c>
      <c r="H89" s="248">
        <f t="shared" si="6"/>
        <v>93.6288</v>
      </c>
      <c r="I89" s="249"/>
      <c r="J89" s="223" t="s">
        <v>312</v>
      </c>
    </row>
    <row r="90" ht="42" customHeight="1" outlineLevel="2" spans="1:10">
      <c r="A90" s="201" t="s">
        <v>313</v>
      </c>
      <c r="B90" s="249" t="s">
        <v>314</v>
      </c>
      <c r="C90" s="249" t="s">
        <v>179</v>
      </c>
      <c r="D90" s="195" t="s">
        <v>315</v>
      </c>
      <c r="E90" s="196" t="s">
        <v>316</v>
      </c>
      <c r="F90" s="196">
        <v>3</v>
      </c>
      <c r="G90" s="250">
        <f>0.1*79</f>
        <v>7.9</v>
      </c>
      <c r="H90" s="248">
        <f t="shared" si="6"/>
        <v>23.7</v>
      </c>
      <c r="I90" s="249"/>
      <c r="J90" s="223" t="s">
        <v>317</v>
      </c>
    </row>
    <row r="91" ht="32.1" customHeight="1" spans="1:10">
      <c r="A91" s="207">
        <v>6</v>
      </c>
      <c r="B91" s="208" t="s">
        <v>318</v>
      </c>
      <c r="C91" s="208"/>
      <c r="D91" s="208"/>
      <c r="E91" s="207"/>
      <c r="F91" s="207"/>
      <c r="G91" s="207" t="s">
        <v>319</v>
      </c>
      <c r="H91" s="211">
        <f>SUM(H92:H102)</f>
        <v>65.05285</v>
      </c>
      <c r="I91" s="208"/>
      <c r="J91" s="223"/>
    </row>
    <row r="92" ht="24" customHeight="1" outlineLevel="2" spans="1:10">
      <c r="A92" s="215" t="s">
        <v>320</v>
      </c>
      <c r="B92" s="251" t="s">
        <v>321</v>
      </c>
      <c r="C92" s="251"/>
      <c r="D92" s="252" t="s">
        <v>322</v>
      </c>
      <c r="E92" s="218" t="s">
        <v>1</v>
      </c>
      <c r="F92" s="218">
        <v>1</v>
      </c>
      <c r="G92" s="242">
        <v>0</v>
      </c>
      <c r="H92" s="243">
        <f>F92*G92</f>
        <v>0</v>
      </c>
      <c r="I92" s="208"/>
      <c r="J92" s="223"/>
    </row>
    <row r="93" ht="24" customHeight="1" outlineLevel="2" spans="1:10">
      <c r="A93" s="215" t="s">
        <v>323</v>
      </c>
      <c r="B93" s="251" t="s">
        <v>324</v>
      </c>
      <c r="C93" s="251"/>
      <c r="D93" s="252" t="s">
        <v>322</v>
      </c>
      <c r="E93" s="218" t="s">
        <v>1</v>
      </c>
      <c r="F93" s="218">
        <v>1</v>
      </c>
      <c r="G93" s="242">
        <v>0</v>
      </c>
      <c r="H93" s="243">
        <f>F93*G93</f>
        <v>0</v>
      </c>
      <c r="I93" s="208"/>
      <c r="J93" s="223"/>
    </row>
    <row r="94" ht="24" customHeight="1" outlineLevel="2" spans="1:10">
      <c r="A94" s="215" t="s">
        <v>325</v>
      </c>
      <c r="B94" s="251" t="s">
        <v>326</v>
      </c>
      <c r="C94" s="251"/>
      <c r="D94" s="252" t="s">
        <v>322</v>
      </c>
      <c r="E94" s="218" t="s">
        <v>1</v>
      </c>
      <c r="F94" s="218">
        <v>1</v>
      </c>
      <c r="G94" s="242">
        <v>0</v>
      </c>
      <c r="H94" s="243">
        <f>F94*G94</f>
        <v>0</v>
      </c>
      <c r="I94" s="208"/>
      <c r="J94" s="223"/>
    </row>
    <row r="95" ht="24" customHeight="1" outlineLevel="2" spans="1:10">
      <c r="A95" s="215" t="s">
        <v>327</v>
      </c>
      <c r="B95" s="251" t="s">
        <v>328</v>
      </c>
      <c r="C95" s="251"/>
      <c r="D95" s="252" t="s">
        <v>322</v>
      </c>
      <c r="E95" s="218" t="s">
        <v>1</v>
      </c>
      <c r="F95" s="218">
        <v>1</v>
      </c>
      <c r="G95" s="242">
        <v>0</v>
      </c>
      <c r="H95" s="243">
        <f>F95*G95</f>
        <v>0</v>
      </c>
      <c r="I95" s="208"/>
      <c r="J95" s="223"/>
    </row>
    <row r="96" ht="24" customHeight="1" outlineLevel="2" spans="1:10">
      <c r="A96" s="215" t="s">
        <v>329</v>
      </c>
      <c r="B96" s="251" t="s">
        <v>330</v>
      </c>
      <c r="C96" s="251"/>
      <c r="D96" s="252" t="s">
        <v>322</v>
      </c>
      <c r="E96" s="218" t="s">
        <v>1</v>
      </c>
      <c r="F96" s="218">
        <v>1</v>
      </c>
      <c r="G96" s="242">
        <v>0</v>
      </c>
      <c r="H96" s="243">
        <f t="shared" ref="H96:H102" si="7">F96*G96</f>
        <v>0</v>
      </c>
      <c r="I96" s="208"/>
      <c r="J96" s="223"/>
    </row>
    <row r="97" ht="24" customHeight="1" outlineLevel="1" spans="1:10">
      <c r="A97" s="215" t="s">
        <v>331</v>
      </c>
      <c r="B97" s="251" t="s">
        <v>332</v>
      </c>
      <c r="C97" s="251" t="s">
        <v>333</v>
      </c>
      <c r="D97" s="252" t="s">
        <v>334</v>
      </c>
      <c r="E97" s="218" t="s">
        <v>335</v>
      </c>
      <c r="F97" s="218">
        <v>20</v>
      </c>
      <c r="G97" s="242">
        <v>0.8</v>
      </c>
      <c r="H97" s="243">
        <f t="shared" si="7"/>
        <v>16</v>
      </c>
      <c r="I97" s="208"/>
      <c r="J97" s="223" t="s">
        <v>336</v>
      </c>
    </row>
    <row r="98" ht="24" customHeight="1" outlineLevel="1" spans="1:10">
      <c r="A98" s="215" t="s">
        <v>337</v>
      </c>
      <c r="B98" s="251" t="s">
        <v>338</v>
      </c>
      <c r="C98" s="251" t="s">
        <v>333</v>
      </c>
      <c r="D98" s="252" t="s">
        <v>339</v>
      </c>
      <c r="E98" s="218" t="s">
        <v>1</v>
      </c>
      <c r="F98" s="218">
        <v>1</v>
      </c>
      <c r="G98" s="242">
        <f>(H42+H3)*0.8%</f>
        <v>19.6012</v>
      </c>
      <c r="H98" s="243">
        <f t="shared" si="7"/>
        <v>19.6012</v>
      </c>
      <c r="I98" s="259" t="s">
        <v>340</v>
      </c>
      <c r="J98" s="223" t="s">
        <v>336</v>
      </c>
    </row>
    <row r="99" ht="24" customHeight="1" outlineLevel="1" spans="1:10">
      <c r="A99" s="215" t="s">
        <v>341</v>
      </c>
      <c r="B99" s="251" t="s">
        <v>342</v>
      </c>
      <c r="C99" s="251" t="s">
        <v>333</v>
      </c>
      <c r="D99" s="252" t="s">
        <v>343</v>
      </c>
      <c r="E99" s="218" t="s">
        <v>1</v>
      </c>
      <c r="F99" s="218">
        <v>1</v>
      </c>
      <c r="G99" s="242">
        <f>(H42+H3)*0.8%</f>
        <v>19.6012</v>
      </c>
      <c r="H99" s="243">
        <f t="shared" si="7"/>
        <v>19.6012</v>
      </c>
      <c r="I99" s="260"/>
      <c r="J99" s="223" t="s">
        <v>344</v>
      </c>
    </row>
    <row r="100" ht="24" customHeight="1" outlineLevel="1" spans="1:10">
      <c r="A100" s="215" t="s">
        <v>345</v>
      </c>
      <c r="B100" s="251" t="s">
        <v>346</v>
      </c>
      <c r="C100" s="251" t="s">
        <v>333</v>
      </c>
      <c r="D100" s="252" t="s">
        <v>347</v>
      </c>
      <c r="E100" s="218" t="s">
        <v>1</v>
      </c>
      <c r="F100" s="218">
        <v>1</v>
      </c>
      <c r="G100" s="242">
        <f>(H42+H3)*0.2%</f>
        <v>4.9003</v>
      </c>
      <c r="H100" s="243">
        <f t="shared" si="7"/>
        <v>4.9003</v>
      </c>
      <c r="I100" s="260"/>
      <c r="J100" s="223" t="s">
        <v>336</v>
      </c>
    </row>
    <row r="101" ht="24" customHeight="1" outlineLevel="1" spans="1:10">
      <c r="A101" s="215" t="s">
        <v>348</v>
      </c>
      <c r="B101" s="251" t="s">
        <v>349</v>
      </c>
      <c r="C101" s="251" t="s">
        <v>333</v>
      </c>
      <c r="D101" s="252" t="s">
        <v>350</v>
      </c>
      <c r="E101" s="218" t="s">
        <v>1</v>
      </c>
      <c r="F101" s="218">
        <v>1</v>
      </c>
      <c r="G101" s="242">
        <f>(H42+H3)*0.1%</f>
        <v>2.45015</v>
      </c>
      <c r="H101" s="243">
        <f t="shared" si="7"/>
        <v>2.45015</v>
      </c>
      <c r="I101" s="261"/>
      <c r="J101" s="223" t="s">
        <v>336</v>
      </c>
    </row>
    <row r="102" ht="24" customHeight="1" outlineLevel="1" spans="1:10">
      <c r="A102" s="215" t="s">
        <v>351</v>
      </c>
      <c r="B102" s="252" t="s">
        <v>352</v>
      </c>
      <c r="C102" s="251" t="s">
        <v>333</v>
      </c>
      <c r="D102" s="252" t="s">
        <v>353</v>
      </c>
      <c r="E102" s="218" t="s">
        <v>1</v>
      </c>
      <c r="F102" s="218">
        <v>1</v>
      </c>
      <c r="G102" s="242">
        <v>2.5</v>
      </c>
      <c r="H102" s="243">
        <f t="shared" si="7"/>
        <v>2.5</v>
      </c>
      <c r="I102" s="261"/>
      <c r="J102" s="223" t="s">
        <v>354</v>
      </c>
    </row>
    <row r="103" ht="24.95" customHeight="1" spans="1:10">
      <c r="A103" s="253" t="s">
        <v>355</v>
      </c>
      <c r="B103" s="254"/>
      <c r="C103" s="254"/>
      <c r="D103" s="255"/>
      <c r="E103" s="146"/>
      <c r="F103" s="146"/>
      <c r="G103" s="146"/>
      <c r="H103" s="256">
        <f>H91+H81+H64+H56+H42+H3</f>
        <v>4865.40165</v>
      </c>
      <c r="I103" s="146"/>
      <c r="J103" s="223"/>
    </row>
    <row r="104" ht="23.1" customHeight="1" spans="7:8">
      <c r="G104" s="207" t="s">
        <v>356</v>
      </c>
      <c r="H104" s="211">
        <v>4865.4</v>
      </c>
    </row>
    <row r="105" ht="23.1" customHeight="1" spans="8:8">
      <c r="H105" s="211">
        <f>H103-H104</f>
        <v>0.00165000000015425</v>
      </c>
    </row>
    <row r="106" ht="23.1" customHeight="1" spans="8:8">
      <c r="H106" s="211">
        <f>H105*10000</f>
        <v>16.5000000015425</v>
      </c>
    </row>
    <row r="107" ht="20.1" customHeight="1"/>
    <row r="108" ht="20.1" customHeight="1"/>
    <row r="109" ht="20.1" customHeight="1"/>
    <row r="110" ht="20.1" customHeight="1"/>
    <row r="111" ht="20.1" customHeight="1"/>
    <row r="112" ht="20.1" customHeight="1"/>
    <row r="113" ht="20.1" customHeight="1"/>
  </sheetData>
  <autoFilter xmlns:etc="http://www.wps.cn/officeDocument/2017/etCustomData" ref="A1:I106" etc:filterBottomFollowUsedRange="0">
    <extLst/>
  </autoFilter>
  <mergeCells count="6">
    <mergeCell ref="A1:I1"/>
    <mergeCell ref="A103:D103"/>
    <mergeCell ref="D44:D48"/>
    <mergeCell ref="D58:D59"/>
    <mergeCell ref="I77:I78"/>
    <mergeCell ref="I98:I101"/>
  </mergeCells>
  <pageMargins left="0.700694444444445" right="0.700694444444445" top="0.751388888888889" bottom="0.751388888888889" header="0.298611111111111" footer="0.298611111111111"/>
  <pageSetup paperSize="9" scale="62" fitToHeight="0" orientation="landscape"/>
  <headerFooter/>
  <rowBreaks count="7" manualBreakCount="7">
    <brk id="103" max="16383" man="1"/>
    <brk id="103" max="16383" man="1"/>
    <brk id="103" max="16383" man="1"/>
    <brk id="104" max="16383" man="1"/>
    <brk id="105" max="16383" man="1"/>
    <brk id="105" max="16383" man="1"/>
    <brk id="109" max="16383" man="1"/>
  </rowBreaks>
  <colBreaks count="1" manualBreakCount="1">
    <brk id="9"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zoomScale="70" zoomScaleNormal="70" topLeftCell="A22" workbookViewId="0">
      <selection activeCell="C31" sqref="C31"/>
    </sheetView>
  </sheetViews>
  <sheetFormatPr defaultColWidth="9" defaultRowHeight="13.5" outlineLevelCol="7"/>
  <cols>
    <col min="1" max="1" width="7" style="2" customWidth="1"/>
    <col min="2" max="2" width="28.1333333333333" customWidth="1"/>
    <col min="3" max="3" width="56.3833333333333" customWidth="1"/>
    <col min="4" max="4" width="19.3833333333333" customWidth="1"/>
  </cols>
  <sheetData>
    <row r="1" ht="27" customHeight="1" spans="1:4">
      <c r="A1" s="55" t="s">
        <v>430</v>
      </c>
      <c r="B1" s="55" t="s">
        <v>814</v>
      </c>
      <c r="C1" s="55" t="s">
        <v>815</v>
      </c>
      <c r="D1" s="56" t="s">
        <v>9</v>
      </c>
    </row>
    <row r="2" ht="27" customHeight="1" spans="1:4">
      <c r="A2" s="57" t="s">
        <v>153</v>
      </c>
      <c r="B2" s="57"/>
      <c r="C2" s="57"/>
      <c r="D2" s="57"/>
    </row>
    <row r="3" ht="51" customHeight="1" spans="1:4">
      <c r="A3" s="58">
        <v>1</v>
      </c>
      <c r="B3" s="58" t="s">
        <v>816</v>
      </c>
      <c r="C3" s="59" t="s">
        <v>156</v>
      </c>
      <c r="D3" s="58"/>
    </row>
    <row r="4" ht="51" customHeight="1" spans="1:4">
      <c r="A4" s="58">
        <v>2</v>
      </c>
      <c r="B4" s="58" t="s">
        <v>155</v>
      </c>
      <c r="C4" s="60"/>
      <c r="D4" s="58"/>
    </row>
    <row r="5" ht="51" customHeight="1" spans="1:4">
      <c r="A5" s="58">
        <v>3</v>
      </c>
      <c r="B5" s="58" t="s">
        <v>159</v>
      </c>
      <c r="C5" s="60"/>
      <c r="D5" s="58"/>
    </row>
    <row r="6" ht="51" customHeight="1" spans="1:4">
      <c r="A6" s="58">
        <v>4</v>
      </c>
      <c r="B6" s="58" t="s">
        <v>817</v>
      </c>
      <c r="C6" s="60"/>
      <c r="D6" s="58"/>
    </row>
    <row r="7" ht="51" customHeight="1" spans="1:4">
      <c r="A7" s="58">
        <v>5</v>
      </c>
      <c r="B7" s="58" t="s">
        <v>161</v>
      </c>
      <c r="C7" s="61"/>
      <c r="D7" s="58"/>
    </row>
    <row r="8" ht="29.1" customHeight="1" spans="1:4">
      <c r="A8" s="58">
        <v>6</v>
      </c>
      <c r="B8" s="58" t="s">
        <v>168</v>
      </c>
      <c r="C8" s="62" t="s">
        <v>818</v>
      </c>
      <c r="D8" s="58"/>
    </row>
    <row r="9" ht="29.1" customHeight="1" spans="1:4">
      <c r="A9" s="57" t="s">
        <v>819</v>
      </c>
      <c r="B9" s="57"/>
      <c r="C9" s="57"/>
      <c r="D9" s="57"/>
    </row>
    <row r="10" ht="29.1" customHeight="1" spans="1:4">
      <c r="A10" s="58">
        <v>1</v>
      </c>
      <c r="B10" s="63" t="s">
        <v>820</v>
      </c>
      <c r="C10" s="62" t="s">
        <v>821</v>
      </c>
      <c r="D10" s="62"/>
    </row>
    <row r="11" ht="29.1" customHeight="1" spans="1:4">
      <c r="A11" s="58">
        <v>2</v>
      </c>
      <c r="B11" s="63" t="s">
        <v>822</v>
      </c>
      <c r="C11" s="62" t="s">
        <v>823</v>
      </c>
      <c r="D11" s="58"/>
    </row>
    <row r="12" ht="29.1" customHeight="1" spans="1:4">
      <c r="A12" s="58">
        <v>3</v>
      </c>
      <c r="B12" s="63" t="s">
        <v>824</v>
      </c>
      <c r="C12" s="62" t="s">
        <v>825</v>
      </c>
      <c r="D12" s="58"/>
    </row>
    <row r="13" ht="29.1" customHeight="1" spans="1:4">
      <c r="A13" s="58">
        <v>4</v>
      </c>
      <c r="B13" s="63" t="s">
        <v>826</v>
      </c>
      <c r="C13" s="62" t="s">
        <v>827</v>
      </c>
      <c r="D13" s="58"/>
    </row>
    <row r="14" ht="29.1" customHeight="1" spans="1:4">
      <c r="A14" s="57" t="s">
        <v>828</v>
      </c>
      <c r="B14" s="57"/>
      <c r="C14" s="57"/>
      <c r="D14" s="57"/>
    </row>
    <row r="15" ht="29.1" customHeight="1" spans="1:4">
      <c r="A15" s="58">
        <v>1</v>
      </c>
      <c r="B15" s="63" t="s">
        <v>185</v>
      </c>
      <c r="C15" s="63" t="s">
        <v>829</v>
      </c>
      <c r="D15" s="58" t="s">
        <v>830</v>
      </c>
    </row>
    <row r="16" ht="29.1" customHeight="1" spans="1:4">
      <c r="A16" s="58">
        <v>2</v>
      </c>
      <c r="B16" s="63" t="s">
        <v>831</v>
      </c>
      <c r="C16" s="63" t="s">
        <v>832</v>
      </c>
      <c r="D16" s="58" t="s">
        <v>833</v>
      </c>
    </row>
    <row r="17" ht="29.1" customHeight="1" spans="1:4">
      <c r="A17" s="58">
        <v>3</v>
      </c>
      <c r="B17" s="63" t="s">
        <v>834</v>
      </c>
      <c r="C17" s="63" t="s">
        <v>835</v>
      </c>
      <c r="D17" s="58"/>
    </row>
    <row r="18" ht="29.1" customHeight="1" spans="1:4">
      <c r="A18" s="58">
        <v>4</v>
      </c>
      <c r="B18" s="63" t="s">
        <v>836</v>
      </c>
      <c r="C18" s="63" t="s">
        <v>837</v>
      </c>
      <c r="D18" s="58"/>
    </row>
    <row r="19" ht="29.1" customHeight="1" spans="1:4">
      <c r="A19" s="58">
        <v>5</v>
      </c>
      <c r="B19" s="63" t="s">
        <v>838</v>
      </c>
      <c r="C19" s="63" t="s">
        <v>838</v>
      </c>
      <c r="D19" s="58"/>
    </row>
    <row r="20" ht="29.1" customHeight="1" spans="1:4">
      <c r="A20" s="58">
        <v>6</v>
      </c>
      <c r="B20" s="63" t="s">
        <v>839</v>
      </c>
      <c r="C20" s="63" t="s">
        <v>839</v>
      </c>
      <c r="D20" s="58"/>
    </row>
    <row r="21" ht="29.1" customHeight="1" spans="1:4">
      <c r="A21" s="58">
        <v>7</v>
      </c>
      <c r="B21" s="63" t="s">
        <v>840</v>
      </c>
      <c r="C21" s="63" t="s">
        <v>841</v>
      </c>
      <c r="D21" s="58"/>
    </row>
    <row r="22" ht="29.1" customHeight="1" spans="1:4">
      <c r="A22" s="58">
        <v>8</v>
      </c>
      <c r="B22" s="63" t="s">
        <v>842</v>
      </c>
      <c r="C22" s="63" t="s">
        <v>843</v>
      </c>
      <c r="D22" s="58"/>
    </row>
    <row r="23" ht="29.1" customHeight="1" spans="1:4">
      <c r="A23" s="58">
        <v>9</v>
      </c>
      <c r="B23" s="63" t="s">
        <v>844</v>
      </c>
      <c r="C23" s="63" t="s">
        <v>845</v>
      </c>
      <c r="D23" s="58"/>
    </row>
    <row r="24" ht="29.1" customHeight="1" spans="1:4">
      <c r="A24" s="58">
        <v>10</v>
      </c>
      <c r="B24" s="63" t="s">
        <v>846</v>
      </c>
      <c r="C24" s="58"/>
      <c r="D24" s="58" t="s">
        <v>847</v>
      </c>
    </row>
    <row r="25" ht="29.1" customHeight="1" spans="1:4">
      <c r="A25" s="58">
        <v>11</v>
      </c>
      <c r="B25" s="63" t="s">
        <v>848</v>
      </c>
      <c r="C25" s="58"/>
      <c r="D25" s="58" t="s">
        <v>847</v>
      </c>
    </row>
    <row r="26" ht="29.1" customHeight="1" spans="1:4">
      <c r="A26" s="58">
        <v>12</v>
      </c>
      <c r="B26" t="s">
        <v>849</v>
      </c>
      <c r="C26" s="58"/>
      <c r="D26" s="58"/>
    </row>
    <row r="27" ht="27" customHeight="1" spans="1:4">
      <c r="A27" s="57" t="s">
        <v>850</v>
      </c>
      <c r="B27" s="57"/>
      <c r="C27" s="57"/>
      <c r="D27" s="57"/>
    </row>
    <row r="28" ht="29.1" customHeight="1" spans="1:8">
      <c r="A28" s="64">
        <v>1</v>
      </c>
      <c r="B28" s="62" t="s">
        <v>851</v>
      </c>
      <c r="C28" s="62" t="s">
        <v>852</v>
      </c>
      <c r="D28" s="62"/>
      <c r="G28" s="59"/>
      <c r="H28" s="59"/>
    </row>
    <row r="29" ht="21" customHeight="1" spans="1:8">
      <c r="A29" s="64">
        <v>2</v>
      </c>
      <c r="B29" s="62" t="s">
        <v>853</v>
      </c>
      <c r="C29" s="62" t="s">
        <v>854</v>
      </c>
      <c r="D29" s="62"/>
      <c r="G29" s="60"/>
      <c r="H29" s="60"/>
    </row>
    <row r="30" ht="21" customHeight="1" spans="1:8">
      <c r="A30" s="64">
        <v>3</v>
      </c>
      <c r="B30" s="62" t="s">
        <v>855</v>
      </c>
      <c r="C30" s="62" t="s">
        <v>856</v>
      </c>
      <c r="D30" s="62"/>
      <c r="G30" s="60"/>
      <c r="H30" s="60"/>
    </row>
    <row r="31" ht="21" customHeight="1" spans="1:8">
      <c r="A31" s="64">
        <v>4</v>
      </c>
      <c r="B31" s="62" t="s">
        <v>857</v>
      </c>
      <c r="C31" s="62" t="s">
        <v>858</v>
      </c>
      <c r="D31" s="62"/>
      <c r="G31" s="60"/>
      <c r="H31" s="60"/>
    </row>
    <row r="32" ht="21" customHeight="1" spans="1:8">
      <c r="A32" s="64">
        <v>5</v>
      </c>
      <c r="B32" s="62" t="s">
        <v>859</v>
      </c>
      <c r="C32" s="62" t="s">
        <v>860</v>
      </c>
      <c r="D32" s="62"/>
      <c r="G32" s="60"/>
      <c r="H32" s="60"/>
    </row>
    <row r="33" ht="21" customHeight="1" spans="1:8">
      <c r="A33" s="64">
        <v>6</v>
      </c>
      <c r="B33" s="62" t="s">
        <v>861</v>
      </c>
      <c r="C33" s="62" t="s">
        <v>862</v>
      </c>
      <c r="D33" s="62"/>
      <c r="G33" s="61"/>
      <c r="H33" s="61"/>
    </row>
    <row r="34" ht="21" customHeight="1" spans="1:4">
      <c r="A34" s="65" t="s">
        <v>863</v>
      </c>
      <c r="B34" s="65"/>
      <c r="C34" s="65"/>
      <c r="D34" s="65"/>
    </row>
    <row r="35" ht="21" customHeight="1" spans="1:4">
      <c r="A35" s="66">
        <v>1</v>
      </c>
      <c r="B35" s="62" t="s">
        <v>864</v>
      </c>
      <c r="C35" s="62" t="s">
        <v>865</v>
      </c>
      <c r="D35" s="62"/>
    </row>
    <row r="36" ht="21" customHeight="1" spans="1:4">
      <c r="A36" s="66">
        <v>2</v>
      </c>
      <c r="B36" s="62" t="s">
        <v>866</v>
      </c>
      <c r="C36" s="62" t="s">
        <v>867</v>
      </c>
      <c r="D36" s="62"/>
    </row>
    <row r="37" ht="21" customHeight="1" spans="1:4">
      <c r="A37" s="66">
        <v>3</v>
      </c>
      <c r="B37" s="62" t="s">
        <v>868</v>
      </c>
      <c r="C37" s="62" t="s">
        <v>863</v>
      </c>
      <c r="D37" s="62"/>
    </row>
    <row r="38" ht="21" customHeight="1" spans="1:4">
      <c r="A38" s="66">
        <v>4</v>
      </c>
      <c r="B38" s="62" t="s">
        <v>853</v>
      </c>
      <c r="C38" s="62" t="s">
        <v>869</v>
      </c>
      <c r="D38" s="62"/>
    </row>
    <row r="39" ht="21" customHeight="1" spans="1:4">
      <c r="A39" s="66">
        <v>5</v>
      </c>
      <c r="B39" s="62" t="s">
        <v>855</v>
      </c>
      <c r="C39" s="62" t="s">
        <v>870</v>
      </c>
      <c r="D39" s="62"/>
    </row>
    <row r="40" ht="21" customHeight="1" spans="1:4">
      <c r="A40" s="66">
        <v>6</v>
      </c>
      <c r="B40" s="62" t="s">
        <v>857</v>
      </c>
      <c r="C40" s="62" t="s">
        <v>871</v>
      </c>
      <c r="D40" s="62"/>
    </row>
    <row r="41" ht="21" customHeight="1" spans="1:4">
      <c r="A41" s="66">
        <v>7</v>
      </c>
      <c r="B41" s="62" t="s">
        <v>872</v>
      </c>
      <c r="C41" s="62" t="s">
        <v>873</v>
      </c>
      <c r="D41" s="62"/>
    </row>
    <row r="42" ht="21" customHeight="1" spans="1:4">
      <c r="A42" s="66">
        <v>8</v>
      </c>
      <c r="B42" s="62" t="s">
        <v>874</v>
      </c>
      <c r="C42" s="62" t="s">
        <v>875</v>
      </c>
      <c r="D42" s="62"/>
    </row>
    <row r="43" ht="21" customHeight="1" spans="1:4">
      <c r="A43" s="66">
        <v>9</v>
      </c>
      <c r="B43" s="62" t="s">
        <v>876</v>
      </c>
      <c r="C43" s="62" t="s">
        <v>877</v>
      </c>
      <c r="D43" s="62"/>
    </row>
    <row r="44" ht="21" customHeight="1" spans="1:4">
      <c r="A44" s="66">
        <v>10</v>
      </c>
      <c r="B44" s="62" t="s">
        <v>878</v>
      </c>
      <c r="C44" s="62" t="s">
        <v>879</v>
      </c>
      <c r="D44" s="62"/>
    </row>
    <row r="45" ht="21" customHeight="1" spans="1:4">
      <c r="A45" s="66">
        <v>11</v>
      </c>
      <c r="B45" s="62" t="s">
        <v>880</v>
      </c>
      <c r="C45" s="62" t="s">
        <v>881</v>
      </c>
      <c r="D45" s="62"/>
    </row>
    <row r="46" ht="21" customHeight="1" spans="1:4">
      <c r="A46" s="66">
        <v>12</v>
      </c>
      <c r="B46" s="62" t="s">
        <v>882</v>
      </c>
      <c r="C46" s="62" t="s">
        <v>883</v>
      </c>
      <c r="D46" s="62"/>
    </row>
    <row r="47" ht="21" customHeight="1" spans="1:4">
      <c r="A47" s="66">
        <v>13</v>
      </c>
      <c r="B47" s="62" t="s">
        <v>859</v>
      </c>
      <c r="C47" s="62" t="s">
        <v>860</v>
      </c>
      <c r="D47" s="62"/>
    </row>
    <row r="48" ht="21" customHeight="1" spans="1:4">
      <c r="A48" s="66">
        <v>14</v>
      </c>
      <c r="B48" s="62" t="s">
        <v>884</v>
      </c>
      <c r="C48" s="62" t="s">
        <v>885</v>
      </c>
      <c r="D48" s="62"/>
    </row>
    <row r="49" ht="21" customHeight="1" spans="1:4">
      <c r="A49" s="66">
        <v>15</v>
      </c>
      <c r="B49" s="62" t="s">
        <v>886</v>
      </c>
      <c r="C49" s="62" t="s">
        <v>887</v>
      </c>
      <c r="D49" s="62"/>
    </row>
    <row r="50" ht="21" customHeight="1" spans="1:4">
      <c r="A50" s="66">
        <v>16</v>
      </c>
      <c r="B50" s="62" t="s">
        <v>861</v>
      </c>
      <c r="C50" s="62" t="s">
        <v>862</v>
      </c>
      <c r="D50" s="62"/>
    </row>
    <row r="51" ht="21" customHeight="1" spans="1:4">
      <c r="A51" s="66">
        <v>17</v>
      </c>
      <c r="B51" s="62" t="s">
        <v>888</v>
      </c>
      <c r="C51" s="62" t="s">
        <v>888</v>
      </c>
      <c r="D51" s="17" t="s">
        <v>889</v>
      </c>
    </row>
    <row r="52" ht="21" customHeight="1" spans="1:4">
      <c r="A52" s="66">
        <v>18</v>
      </c>
      <c r="B52" s="62" t="s">
        <v>890</v>
      </c>
      <c r="C52" s="62" t="s">
        <v>888</v>
      </c>
      <c r="D52" s="17" t="s">
        <v>891</v>
      </c>
    </row>
    <row r="53" ht="21" customHeight="1" spans="1:4">
      <c r="A53" s="65" t="s">
        <v>892</v>
      </c>
      <c r="B53" s="65"/>
      <c r="C53" s="65"/>
      <c r="D53" s="65"/>
    </row>
    <row r="54" ht="21" customHeight="1" spans="1:4">
      <c r="A54" s="66">
        <v>1</v>
      </c>
      <c r="B54" s="62" t="s">
        <v>853</v>
      </c>
      <c r="C54" s="62" t="s">
        <v>853</v>
      </c>
      <c r="D54" s="62" t="s">
        <v>869</v>
      </c>
    </row>
    <row r="55" ht="21" customHeight="1" spans="1:4">
      <c r="A55" s="67">
        <v>2</v>
      </c>
      <c r="B55" s="62" t="s">
        <v>893</v>
      </c>
      <c r="C55" s="17"/>
      <c r="D55" s="68"/>
    </row>
    <row r="56" ht="21" customHeight="1" spans="1:4">
      <c r="A56" s="66">
        <v>3</v>
      </c>
      <c r="B56" s="62" t="s">
        <v>894</v>
      </c>
      <c r="C56" s="17"/>
      <c r="D56" s="17"/>
    </row>
    <row r="57" ht="21" customHeight="1" spans="1:4">
      <c r="A57" s="67">
        <v>4</v>
      </c>
      <c r="B57" s="62" t="s">
        <v>895</v>
      </c>
      <c r="C57" s="17"/>
      <c r="D57" s="17"/>
    </row>
    <row r="58" ht="21" customHeight="1" spans="1:4">
      <c r="A58" s="66">
        <v>5</v>
      </c>
      <c r="B58" s="62" t="s">
        <v>896</v>
      </c>
      <c r="C58" s="17"/>
      <c r="D58" s="17"/>
    </row>
    <row r="59" ht="21" customHeight="1" spans="1:4">
      <c r="A59" s="67">
        <v>6</v>
      </c>
      <c r="B59" s="62" t="s">
        <v>866</v>
      </c>
      <c r="C59" s="17"/>
      <c r="D59" s="68"/>
    </row>
    <row r="60" ht="23.1" customHeight="1" spans="1:4">
      <c r="A60" s="67"/>
      <c r="B60" s="17"/>
      <c r="C60" s="17"/>
      <c r="D60" s="68"/>
    </row>
    <row r="61" ht="23.1" customHeight="1" spans="1:4">
      <c r="A61" s="67"/>
      <c r="B61" s="17"/>
      <c r="C61" s="17"/>
      <c r="D61" s="68"/>
    </row>
    <row r="62" ht="23.1" customHeight="1" spans="1:4">
      <c r="A62" s="69"/>
      <c r="B62" s="69"/>
      <c r="C62" s="69"/>
      <c r="D62" s="69"/>
    </row>
    <row r="63" ht="23.1" customHeight="1" spans="1:4">
      <c r="A63" s="69"/>
      <c r="B63" s="70"/>
      <c r="C63" s="17"/>
      <c r="D63" s="17"/>
    </row>
    <row r="64" ht="23.1" customHeight="1" spans="1:4">
      <c r="A64" s="69"/>
      <c r="B64" s="70"/>
      <c r="C64" s="17"/>
      <c r="D64" s="17"/>
    </row>
    <row r="65" ht="23.1" customHeight="1"/>
  </sheetData>
  <mergeCells count="9">
    <mergeCell ref="A2:D2"/>
    <mergeCell ref="A9:D9"/>
    <mergeCell ref="A14:D14"/>
    <mergeCell ref="A27:D27"/>
    <mergeCell ref="A34:D34"/>
    <mergeCell ref="A53:D53"/>
    <mergeCell ref="C3:C7"/>
    <mergeCell ref="G28:G33"/>
    <mergeCell ref="H28:H33"/>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D10" sqref="D10"/>
    </sheetView>
  </sheetViews>
  <sheetFormatPr defaultColWidth="8.88333333333333" defaultRowHeight="13.5" outlineLevelCol="3"/>
  <cols>
    <col min="2" max="2" width="16" customWidth="1"/>
    <col min="3" max="3" width="19.5" customWidth="1"/>
    <col min="4" max="4" width="28.2583333333333" style="2" customWidth="1"/>
  </cols>
  <sheetData>
    <row r="1" ht="14.45" customHeight="1"/>
    <row r="2" ht="19.7" customHeight="1"/>
    <row r="3" ht="20.1" customHeight="1" spans="1:4">
      <c r="A3" s="47" t="s">
        <v>897</v>
      </c>
      <c r="B3" s="47"/>
      <c r="C3" s="47" t="s">
        <v>898</v>
      </c>
      <c r="D3" s="47" t="s">
        <v>899</v>
      </c>
    </row>
    <row r="4" ht="21" customHeight="1" spans="1:4">
      <c r="A4" s="48" t="s">
        <v>900</v>
      </c>
      <c r="B4" s="48" t="s">
        <v>901</v>
      </c>
      <c r="C4" s="49" t="s">
        <v>155</v>
      </c>
      <c r="D4" s="50" t="s">
        <v>902</v>
      </c>
    </row>
    <row r="5" ht="21" customHeight="1" spans="1:4">
      <c r="A5" s="48"/>
      <c r="B5" s="48"/>
      <c r="C5" s="49" t="s">
        <v>159</v>
      </c>
      <c r="D5" s="50" t="s">
        <v>903</v>
      </c>
    </row>
    <row r="6" ht="21" customHeight="1" spans="1:4">
      <c r="A6" s="48"/>
      <c r="B6" s="48"/>
      <c r="C6" s="49" t="s">
        <v>904</v>
      </c>
      <c r="D6" s="50" t="s">
        <v>905</v>
      </c>
    </row>
    <row r="7" ht="21" customHeight="1" spans="1:4">
      <c r="A7" s="48"/>
      <c r="B7" s="48"/>
      <c r="C7" s="49" t="s">
        <v>906</v>
      </c>
      <c r="D7" s="50" t="s">
        <v>905</v>
      </c>
    </row>
    <row r="8" ht="21" customHeight="1" spans="1:4">
      <c r="A8" s="48"/>
      <c r="B8" s="48"/>
      <c r="C8" s="49" t="s">
        <v>168</v>
      </c>
      <c r="D8" s="50" t="s">
        <v>907</v>
      </c>
    </row>
    <row r="9" ht="21" customHeight="1" spans="1:4">
      <c r="A9" s="48"/>
      <c r="B9" s="48"/>
      <c r="C9" s="49" t="s">
        <v>200</v>
      </c>
      <c r="D9" s="50" t="s">
        <v>908</v>
      </c>
    </row>
    <row r="10" ht="21" customHeight="1" spans="1:4">
      <c r="A10" s="48"/>
      <c r="B10" s="48"/>
      <c r="C10" s="49" t="s">
        <v>227</v>
      </c>
      <c r="D10" s="50" t="s">
        <v>909</v>
      </c>
    </row>
    <row r="11" ht="21" customHeight="1" spans="1:4">
      <c r="A11" s="48"/>
      <c r="B11" s="48"/>
      <c r="C11" s="49" t="s">
        <v>910</v>
      </c>
      <c r="D11" s="50" t="s">
        <v>911</v>
      </c>
    </row>
    <row r="12" ht="21" customHeight="1" spans="1:4">
      <c r="A12" s="48"/>
      <c r="B12" s="48"/>
      <c r="C12" s="49" t="s">
        <v>257</v>
      </c>
      <c r="D12" s="50" t="s">
        <v>912</v>
      </c>
    </row>
    <row r="13" ht="21" customHeight="1" spans="1:4">
      <c r="A13" s="48"/>
      <c r="B13" s="48"/>
      <c r="C13" s="49" t="s">
        <v>263</v>
      </c>
      <c r="D13" s="50" t="s">
        <v>912</v>
      </c>
    </row>
    <row r="14" ht="21" customHeight="1" spans="1:4">
      <c r="A14" s="48"/>
      <c r="B14" s="48" t="s">
        <v>913</v>
      </c>
      <c r="C14" s="48" t="s">
        <v>914</v>
      </c>
      <c r="D14" s="51">
        <v>1</v>
      </c>
    </row>
    <row r="15" ht="21" customHeight="1" spans="1:4">
      <c r="A15" s="48"/>
      <c r="B15" s="48"/>
      <c r="C15" s="48" t="s">
        <v>915</v>
      </c>
      <c r="D15" s="51">
        <v>1</v>
      </c>
    </row>
    <row r="16" ht="21" customHeight="1" spans="1:4">
      <c r="A16" s="48"/>
      <c r="B16" s="48" t="s">
        <v>916</v>
      </c>
      <c r="C16" s="48" t="s">
        <v>917</v>
      </c>
      <c r="D16" s="52" t="s">
        <v>918</v>
      </c>
    </row>
    <row r="17" ht="21" customHeight="1" spans="1:4">
      <c r="A17" s="48"/>
      <c r="B17" s="48" t="s">
        <v>919</v>
      </c>
      <c r="C17" s="49" t="s">
        <v>920</v>
      </c>
      <c r="D17" s="50" t="s">
        <v>921</v>
      </c>
    </row>
    <row r="18" ht="21" customHeight="1" spans="1:4">
      <c r="A18" s="48" t="s">
        <v>922</v>
      </c>
      <c r="B18" s="48" t="s">
        <v>923</v>
      </c>
      <c r="C18" s="49"/>
      <c r="D18" s="50"/>
    </row>
    <row r="19" ht="21" customHeight="1" spans="1:4">
      <c r="A19" s="48"/>
      <c r="B19" s="48" t="s">
        <v>924</v>
      </c>
      <c r="C19" s="49" t="s">
        <v>925</v>
      </c>
      <c r="D19" s="50" t="s">
        <v>926</v>
      </c>
    </row>
    <row r="20" ht="21" customHeight="1" spans="1:4">
      <c r="A20" s="48"/>
      <c r="B20" s="48"/>
      <c r="C20" s="49" t="s">
        <v>927</v>
      </c>
      <c r="D20" s="50" t="s">
        <v>928</v>
      </c>
    </row>
    <row r="21" ht="48" customHeight="1" spans="1:4">
      <c r="A21" s="48"/>
      <c r="B21" s="48" t="s">
        <v>929</v>
      </c>
      <c r="C21" s="52" t="s">
        <v>930</v>
      </c>
      <c r="D21" s="52" t="s">
        <v>931</v>
      </c>
    </row>
    <row r="22" ht="21" customHeight="1" spans="1:4">
      <c r="A22" s="48" t="s">
        <v>932</v>
      </c>
      <c r="B22" s="48" t="s">
        <v>933</v>
      </c>
      <c r="C22" s="53" t="s">
        <v>934</v>
      </c>
      <c r="D22" s="54" t="s">
        <v>935</v>
      </c>
    </row>
    <row r="23" ht="21" customHeight="1" spans="1:4">
      <c r="A23" s="48"/>
      <c r="B23" s="48" t="s">
        <v>936</v>
      </c>
      <c r="C23" s="49" t="s">
        <v>937</v>
      </c>
      <c r="D23" s="50" t="s">
        <v>938</v>
      </c>
    </row>
    <row r="24" ht="21" customHeight="1" spans="1:4">
      <c r="A24" s="48"/>
      <c r="B24" s="48"/>
      <c r="C24" s="49" t="s">
        <v>939</v>
      </c>
      <c r="D24" s="50" t="s">
        <v>940</v>
      </c>
    </row>
  </sheetData>
  <mergeCells count="8">
    <mergeCell ref="A3:B3"/>
    <mergeCell ref="A4:A17"/>
    <mergeCell ref="A18:A21"/>
    <mergeCell ref="A22:A24"/>
    <mergeCell ref="B4:B13"/>
    <mergeCell ref="B14:B15"/>
    <mergeCell ref="B19:B20"/>
    <mergeCell ref="B23:B2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3"/>
  <sheetViews>
    <sheetView zoomScale="85" zoomScaleNormal="85" topLeftCell="A24" workbookViewId="0">
      <selection activeCell="E55" sqref="B31:E55"/>
    </sheetView>
  </sheetViews>
  <sheetFormatPr defaultColWidth="8.88333333333333" defaultRowHeight="13.5"/>
  <cols>
    <col min="1" max="1" width="8.13333333333333" customWidth="1"/>
    <col min="2" max="2" width="14.8833333333333" customWidth="1"/>
    <col min="3" max="3" width="21.7583333333333" customWidth="1"/>
    <col min="4" max="4" width="17.8833333333333" customWidth="1"/>
    <col min="5" max="5" width="14.8833333333333" customWidth="1"/>
    <col min="8" max="8" width="19.5" customWidth="1"/>
    <col min="9" max="9" width="37.1333333333333" customWidth="1"/>
    <col min="10" max="10" width="7.38333333333333" customWidth="1"/>
    <col min="11" max="11" width="8.13333333333333" customWidth="1"/>
    <col min="12" max="12" width="8.38333333333333" customWidth="1"/>
    <col min="13" max="14" width="14.5" customWidth="1"/>
    <col min="15" max="15" width="15" customWidth="1"/>
    <col min="16" max="16" width="8.13333333333333" customWidth="1"/>
    <col min="17" max="17" width="20.5" customWidth="1"/>
    <col min="18" max="19" width="13.6333333333333" customWidth="1"/>
    <col min="20" max="20" width="8.88333333333333" style="2"/>
    <col min="21" max="21" width="28.6333333333333" customWidth="1"/>
    <col min="23" max="23" width="10.5"/>
    <col min="24" max="24" width="9.5"/>
    <col min="25" max="25" width="14" customWidth="1"/>
    <col min="26" max="26" width="10.5"/>
    <col min="27" max="27" width="9.5"/>
  </cols>
  <sheetData>
    <row r="1" ht="14.25"/>
    <row r="2" ht="14.25" spans="1:5">
      <c r="A2" s="15" t="s">
        <v>430</v>
      </c>
      <c r="B2" s="15" t="s">
        <v>941</v>
      </c>
      <c r="C2" s="15" t="s">
        <v>431</v>
      </c>
      <c r="D2" s="15" t="s">
        <v>437</v>
      </c>
      <c r="E2" s="15" t="s">
        <v>438</v>
      </c>
    </row>
    <row r="3" ht="15.95" customHeight="1" spans="1:5">
      <c r="A3" s="16">
        <v>1</v>
      </c>
      <c r="B3" s="15" t="s">
        <v>942</v>
      </c>
      <c r="C3" s="17" t="s">
        <v>943</v>
      </c>
      <c r="D3" s="18" t="e">
        <f>VLOOKUP(C3,#REF!,3,FALSE)</f>
        <v>#REF!</v>
      </c>
      <c r="E3" s="18" t="e">
        <f>VLOOKUP(C3,#REF!,4,FALSE)</f>
        <v>#REF!</v>
      </c>
    </row>
    <row r="4" ht="15.95" customHeight="1" spans="1:5">
      <c r="A4" s="16">
        <v>2</v>
      </c>
      <c r="B4" s="15" t="s">
        <v>942</v>
      </c>
      <c r="C4" s="19" t="s">
        <v>944</v>
      </c>
      <c r="D4" s="18" t="e">
        <f>VLOOKUP(C4,#REF!,3,FALSE)</f>
        <v>#REF!</v>
      </c>
      <c r="E4" s="18" t="e">
        <f>VLOOKUP(C4,#REF!,4,FALSE)</f>
        <v>#REF!</v>
      </c>
    </row>
    <row r="5" ht="15.95" customHeight="1" spans="1:5">
      <c r="A5" s="16">
        <v>3</v>
      </c>
      <c r="B5" s="15" t="s">
        <v>945</v>
      </c>
      <c r="C5" s="17" t="s">
        <v>946</v>
      </c>
      <c r="D5" s="18" t="e">
        <f>VLOOKUP(C5,#REF!,3,FALSE)</f>
        <v>#REF!</v>
      </c>
      <c r="E5" s="18" t="e">
        <f>VLOOKUP(C5,#REF!,4,FALSE)</f>
        <v>#REF!</v>
      </c>
    </row>
    <row r="6" ht="15.95" customHeight="1" spans="1:5">
      <c r="A6" s="16">
        <v>4</v>
      </c>
      <c r="B6" s="15" t="s">
        <v>947</v>
      </c>
      <c r="C6" s="19" t="s">
        <v>948</v>
      </c>
      <c r="D6" s="18" t="e">
        <f>VLOOKUP(C6,#REF!,3,FALSE)</f>
        <v>#REF!</v>
      </c>
      <c r="E6" s="18" t="e">
        <f>VLOOKUP(C6,#REF!,4,FALSE)</f>
        <v>#REF!</v>
      </c>
    </row>
    <row r="7" ht="15.95" customHeight="1" spans="1:5">
      <c r="A7" s="16">
        <v>5</v>
      </c>
      <c r="B7" s="17" t="s">
        <v>949</v>
      </c>
      <c r="C7" s="17" t="s">
        <v>950</v>
      </c>
      <c r="D7" s="18" t="e">
        <f>VLOOKUP(C7,#REF!,3,FALSE)</f>
        <v>#REF!</v>
      </c>
      <c r="E7" s="18" t="e">
        <f>VLOOKUP(C7,#REF!,4,FALSE)</f>
        <v>#REF!</v>
      </c>
    </row>
    <row r="8" ht="15.95" customHeight="1" spans="1:5">
      <c r="A8" s="16">
        <v>6</v>
      </c>
      <c r="B8" s="17" t="s">
        <v>951</v>
      </c>
      <c r="C8" s="17" t="s">
        <v>952</v>
      </c>
      <c r="D8" s="18" t="e">
        <f>VLOOKUP(C8,#REF!,3,FALSE)</f>
        <v>#REF!</v>
      </c>
      <c r="E8" s="18" t="e">
        <f>VLOOKUP(C8,#REF!,4,FALSE)</f>
        <v>#REF!</v>
      </c>
    </row>
    <row r="9" ht="16.7" customHeight="1" spans="1:5">
      <c r="A9" s="16">
        <v>7</v>
      </c>
      <c r="B9" s="17" t="s">
        <v>953</v>
      </c>
      <c r="C9" s="19" t="s">
        <v>954</v>
      </c>
      <c r="D9" s="18" t="e">
        <f>VLOOKUP(C9,#REF!,3,FALSE)</f>
        <v>#REF!</v>
      </c>
      <c r="E9" s="18" t="e">
        <f>VLOOKUP(C9,#REF!,4,FALSE)</f>
        <v>#REF!</v>
      </c>
    </row>
    <row r="10" ht="16.7" customHeight="1" spans="1:5">
      <c r="A10" s="16">
        <v>8</v>
      </c>
      <c r="B10" s="17" t="s">
        <v>955</v>
      </c>
      <c r="C10" s="19" t="s">
        <v>956</v>
      </c>
      <c r="D10" s="18" t="e">
        <f>VLOOKUP(C10,#REF!,3,FALSE)</f>
        <v>#REF!</v>
      </c>
      <c r="E10" s="18" t="e">
        <f>VLOOKUP(C10,#REF!,4,FALSE)</f>
        <v>#REF!</v>
      </c>
    </row>
    <row r="11" ht="15.95" customHeight="1" spans="1:5">
      <c r="A11" s="16">
        <v>9</v>
      </c>
      <c r="B11" s="15" t="s">
        <v>957</v>
      </c>
      <c r="C11" s="20" t="s">
        <v>958</v>
      </c>
      <c r="D11" s="18" t="e">
        <f>VLOOKUP(C11,#REF!,3,FALSE)</f>
        <v>#REF!</v>
      </c>
      <c r="E11" s="18" t="e">
        <f>VLOOKUP(C11,#REF!,4,FALSE)</f>
        <v>#REF!</v>
      </c>
    </row>
    <row r="12" ht="15.95" customHeight="1" spans="1:5">
      <c r="A12" s="16">
        <v>10</v>
      </c>
      <c r="B12" s="17" t="s">
        <v>959</v>
      </c>
      <c r="C12" s="17" t="s">
        <v>960</v>
      </c>
      <c r="D12" s="18" t="e">
        <f>VLOOKUP(C12,#REF!,3,FALSE)</f>
        <v>#REF!</v>
      </c>
      <c r="E12" s="18" t="e">
        <f>VLOOKUP(C12,#REF!,4,FALSE)</f>
        <v>#REF!</v>
      </c>
    </row>
    <row r="13" ht="16.7" customHeight="1" spans="1:5">
      <c r="A13" s="16">
        <v>11</v>
      </c>
      <c r="B13" s="17" t="s">
        <v>961</v>
      </c>
      <c r="C13" s="19" t="s">
        <v>962</v>
      </c>
      <c r="D13" s="18" t="e">
        <f>VLOOKUP(C13,#REF!,3,FALSE)</f>
        <v>#REF!</v>
      </c>
      <c r="E13" s="18" t="e">
        <f>VLOOKUP(C13,#REF!,4,FALSE)</f>
        <v>#REF!</v>
      </c>
    </row>
    <row r="14" ht="15.95" customHeight="1" spans="1:5">
      <c r="A14" s="16">
        <v>12</v>
      </c>
      <c r="B14" s="17" t="s">
        <v>963</v>
      </c>
      <c r="C14" s="17" t="s">
        <v>964</v>
      </c>
      <c r="D14" s="18" t="e">
        <f>VLOOKUP(C14,#REF!,3,FALSE)</f>
        <v>#REF!</v>
      </c>
      <c r="E14" s="18" t="e">
        <f>VLOOKUP(C14,#REF!,4,FALSE)</f>
        <v>#REF!</v>
      </c>
    </row>
    <row r="15" ht="15.95" customHeight="1" spans="1:5">
      <c r="A15" s="16">
        <v>13</v>
      </c>
      <c r="B15" s="17" t="s">
        <v>965</v>
      </c>
      <c r="C15" s="17" t="s">
        <v>966</v>
      </c>
      <c r="D15" s="18" t="e">
        <f>VLOOKUP(C15,#REF!,3,FALSE)</f>
        <v>#REF!</v>
      </c>
      <c r="E15" s="18" t="e">
        <f>VLOOKUP(C15,#REF!,4,FALSE)</f>
        <v>#REF!</v>
      </c>
    </row>
    <row r="16" ht="15.95" customHeight="1" spans="1:5">
      <c r="A16" s="16">
        <v>14</v>
      </c>
      <c r="B16" s="17" t="s">
        <v>967</v>
      </c>
      <c r="C16" s="17" t="s">
        <v>968</v>
      </c>
      <c r="D16" s="18" t="e">
        <f>VLOOKUP(C16,#REF!,3,FALSE)</f>
        <v>#REF!</v>
      </c>
      <c r="E16" s="18" t="e">
        <f>VLOOKUP(C16,#REF!,4,FALSE)</f>
        <v>#REF!</v>
      </c>
    </row>
    <row r="17" ht="15.95" customHeight="1" spans="1:5">
      <c r="A17" s="16">
        <v>15</v>
      </c>
      <c r="B17" s="17" t="s">
        <v>969</v>
      </c>
      <c r="C17" s="19" t="s">
        <v>970</v>
      </c>
      <c r="D17" s="18" t="e">
        <f>VLOOKUP(C17,#REF!,3,FALSE)</f>
        <v>#REF!</v>
      </c>
      <c r="E17" s="18" t="e">
        <f>VLOOKUP(C17,#REF!,4,FALSE)</f>
        <v>#REF!</v>
      </c>
    </row>
    <row r="18" ht="15.95" customHeight="1" spans="1:5">
      <c r="A18" s="16">
        <v>16</v>
      </c>
      <c r="B18" s="17" t="s">
        <v>971</v>
      </c>
      <c r="C18" s="21" t="s">
        <v>972</v>
      </c>
      <c r="D18" s="18" t="e">
        <f>VLOOKUP(C18,#REF!,3,FALSE)</f>
        <v>#REF!</v>
      </c>
      <c r="E18" s="18" t="e">
        <f>VLOOKUP(C18,#REF!,4,FALSE)</f>
        <v>#REF!</v>
      </c>
    </row>
    <row r="19" ht="14.25"/>
    <row r="20" ht="14.25" spans="1:5">
      <c r="A20" s="15" t="s">
        <v>430</v>
      </c>
      <c r="B20" s="15" t="s">
        <v>941</v>
      </c>
      <c r="C20" s="15" t="s">
        <v>431</v>
      </c>
      <c r="D20" s="15" t="s">
        <v>437</v>
      </c>
      <c r="E20" s="15" t="s">
        <v>438</v>
      </c>
    </row>
    <row r="21" ht="14.25" spans="1:5">
      <c r="A21" s="16">
        <v>1</v>
      </c>
      <c r="B21" s="17" t="s">
        <v>963</v>
      </c>
      <c r="C21" s="17" t="s">
        <v>964</v>
      </c>
      <c r="D21" s="18">
        <v>113.38388</v>
      </c>
      <c r="E21" s="18">
        <v>22.51222</v>
      </c>
    </row>
    <row r="22" ht="14.25" spans="1:5">
      <c r="A22" s="16">
        <v>2</v>
      </c>
      <c r="B22" s="17" t="s">
        <v>947</v>
      </c>
      <c r="C22" s="19" t="s">
        <v>973</v>
      </c>
      <c r="D22" s="18">
        <v>113.457785</v>
      </c>
      <c r="E22" s="18">
        <v>22.278524</v>
      </c>
    </row>
    <row r="23" ht="14.25" spans="1:5">
      <c r="A23" s="16">
        <v>3</v>
      </c>
      <c r="B23" s="17" t="s">
        <v>955</v>
      </c>
      <c r="C23" s="20" t="s">
        <v>974</v>
      </c>
      <c r="D23" s="18">
        <v>113.185238</v>
      </c>
      <c r="E23" s="18">
        <v>22.617297</v>
      </c>
    </row>
    <row r="24" ht="14.25" spans="1:5">
      <c r="A24" s="16">
        <v>4</v>
      </c>
      <c r="B24" s="17" t="s">
        <v>969</v>
      </c>
      <c r="C24" s="19" t="s">
        <v>975</v>
      </c>
      <c r="D24" s="18">
        <v>113.250891</v>
      </c>
      <c r="E24" s="18">
        <v>22.676043</v>
      </c>
    </row>
    <row r="25" ht="14.25" spans="1:5">
      <c r="A25" s="16">
        <v>5</v>
      </c>
      <c r="B25" s="17" t="s">
        <v>976</v>
      </c>
      <c r="C25" s="20" t="s">
        <v>977</v>
      </c>
      <c r="D25" s="18">
        <v>113.24216802</v>
      </c>
      <c r="E25" s="18">
        <v>22.6983245</v>
      </c>
    </row>
    <row r="26" ht="14.25" spans="2:5">
      <c r="B26" s="17"/>
      <c r="C26" s="19"/>
      <c r="D26" s="18"/>
      <c r="E26" s="18"/>
    </row>
    <row r="29" ht="14.25"/>
    <row r="30" ht="21" customHeight="1" spans="7:15">
      <c r="G30" s="22" t="s">
        <v>430</v>
      </c>
      <c r="H30" s="23" t="s">
        <v>978</v>
      </c>
      <c r="I30" s="31" t="s">
        <v>979</v>
      </c>
      <c r="J30" s="31" t="s">
        <v>6</v>
      </c>
      <c r="K30" s="31" t="s">
        <v>5</v>
      </c>
      <c r="L30" s="31" t="s">
        <v>980</v>
      </c>
      <c r="M30" s="31" t="s">
        <v>358</v>
      </c>
      <c r="N30" s="31" t="s">
        <v>359</v>
      </c>
      <c r="O30" s="31" t="s">
        <v>9</v>
      </c>
    </row>
    <row r="31" ht="21" customHeight="1" spans="2:15">
      <c r="B31" s="24" t="s">
        <v>941</v>
      </c>
      <c r="C31" s="24" t="s">
        <v>981</v>
      </c>
      <c r="D31" s="24" t="s">
        <v>982</v>
      </c>
      <c r="E31" s="24" t="s">
        <v>983</v>
      </c>
      <c r="G31" s="25">
        <v>1</v>
      </c>
      <c r="H31" s="25" t="s">
        <v>984</v>
      </c>
      <c r="I31" s="32" t="s">
        <v>985</v>
      </c>
      <c r="J31" s="33">
        <v>2</v>
      </c>
      <c r="K31" s="33" t="s">
        <v>25</v>
      </c>
      <c r="L31" s="33">
        <v>8</v>
      </c>
      <c r="M31" s="34">
        <v>3000</v>
      </c>
      <c r="N31" s="34">
        <f>J31*L31*M31</f>
        <v>48000</v>
      </c>
      <c r="O31" s="35"/>
    </row>
    <row r="32" ht="21" customHeight="1" spans="2:15">
      <c r="B32" s="25" t="s">
        <v>986</v>
      </c>
      <c r="C32" s="25" t="e">
        <f>COUNTIFS(#REF!,B32)</f>
        <v>#REF!</v>
      </c>
      <c r="D32" s="25" t="e">
        <f>COUNTIFS(#REF!,B32)</f>
        <v>#REF!</v>
      </c>
      <c r="E32" s="25" t="e">
        <f>D32-C32</f>
        <v>#REF!</v>
      </c>
      <c r="G32" s="25">
        <v>2</v>
      </c>
      <c r="H32" s="25" t="s">
        <v>987</v>
      </c>
      <c r="I32" s="32" t="s">
        <v>988</v>
      </c>
      <c r="J32" s="36"/>
      <c r="K32" s="36"/>
      <c r="L32" s="36"/>
      <c r="M32" s="35"/>
      <c r="N32" s="35"/>
      <c r="O32" s="35"/>
    </row>
    <row r="33" ht="21" customHeight="1" spans="2:15">
      <c r="B33" s="25" t="s">
        <v>989</v>
      </c>
      <c r="C33" s="25" t="e">
        <f>COUNTIFS(#REF!,B33)</f>
        <v>#REF!</v>
      </c>
      <c r="D33" s="25" t="e">
        <f>COUNTIFS(#REF!,B33)</f>
        <v>#REF!</v>
      </c>
      <c r="E33" s="25" t="e">
        <f t="shared" ref="E33:E55" si="0">D33-C33</f>
        <v>#REF!</v>
      </c>
      <c r="G33" s="25">
        <v>3</v>
      </c>
      <c r="H33" s="25" t="s">
        <v>990</v>
      </c>
      <c r="I33" s="32" t="s">
        <v>991</v>
      </c>
      <c r="J33" s="36">
        <v>2</v>
      </c>
      <c r="K33" s="36" t="s">
        <v>19</v>
      </c>
      <c r="L33" s="36">
        <v>10</v>
      </c>
      <c r="M33" s="35">
        <v>600</v>
      </c>
      <c r="N33" s="35">
        <f t="shared" ref="N33:N38" si="1">J33*L33*M33</f>
        <v>12000</v>
      </c>
      <c r="O33" s="35"/>
    </row>
    <row r="34" ht="21" customHeight="1" spans="2:15">
      <c r="B34" s="25" t="s">
        <v>992</v>
      </c>
      <c r="C34" s="25" t="e">
        <f>COUNTIFS(#REF!,B34)</f>
        <v>#REF!</v>
      </c>
      <c r="D34" s="25" t="e">
        <f>COUNTIFS(#REF!,B34)</f>
        <v>#REF!</v>
      </c>
      <c r="E34" s="25" t="e">
        <f t="shared" si="0"/>
        <v>#REF!</v>
      </c>
      <c r="G34" s="25">
        <v>4</v>
      </c>
      <c r="H34" s="25" t="s">
        <v>993</v>
      </c>
      <c r="I34" s="37"/>
      <c r="J34" s="36">
        <v>1</v>
      </c>
      <c r="K34" s="36" t="s">
        <v>994</v>
      </c>
      <c r="L34" s="36">
        <v>3</v>
      </c>
      <c r="M34" s="35">
        <v>1200</v>
      </c>
      <c r="N34" s="35">
        <f t="shared" si="1"/>
        <v>3600</v>
      </c>
      <c r="O34" s="35"/>
    </row>
    <row r="35" ht="21" customHeight="1" spans="2:15">
      <c r="B35" s="25" t="s">
        <v>995</v>
      </c>
      <c r="C35" s="25" t="e">
        <f>COUNTIFS(#REF!,B35)</f>
        <v>#REF!</v>
      </c>
      <c r="D35" s="25" t="e">
        <f>COUNTIFS(#REF!,B35)</f>
        <v>#REF!</v>
      </c>
      <c r="E35" s="25" t="e">
        <f t="shared" si="0"/>
        <v>#REF!</v>
      </c>
      <c r="G35" s="25">
        <v>5</v>
      </c>
      <c r="H35" s="25" t="s">
        <v>996</v>
      </c>
      <c r="I35" s="38"/>
      <c r="J35" s="36">
        <v>4</v>
      </c>
      <c r="K35" s="36" t="s">
        <v>994</v>
      </c>
      <c r="L35" s="36">
        <v>8</v>
      </c>
      <c r="M35" s="35">
        <v>800</v>
      </c>
      <c r="N35" s="35">
        <f t="shared" si="1"/>
        <v>25600</v>
      </c>
      <c r="O35" s="35"/>
    </row>
    <row r="36" ht="21" customHeight="1" spans="2:15">
      <c r="B36" s="25" t="s">
        <v>997</v>
      </c>
      <c r="C36" s="25" t="e">
        <f>COUNTIFS(#REF!,B36)</f>
        <v>#REF!</v>
      </c>
      <c r="D36" s="25" t="e">
        <f>COUNTIFS(#REF!,B36)</f>
        <v>#REF!</v>
      </c>
      <c r="E36" s="25" t="e">
        <f t="shared" si="0"/>
        <v>#REF!</v>
      </c>
      <c r="G36" s="25">
        <v>6</v>
      </c>
      <c r="H36" s="25" t="s">
        <v>998</v>
      </c>
      <c r="I36" s="38"/>
      <c r="J36" s="36">
        <v>2</v>
      </c>
      <c r="K36" s="36" t="s">
        <v>994</v>
      </c>
      <c r="L36" s="36">
        <v>9</v>
      </c>
      <c r="M36" s="35">
        <v>1000</v>
      </c>
      <c r="N36" s="35">
        <f t="shared" si="1"/>
        <v>18000</v>
      </c>
      <c r="O36" s="35"/>
    </row>
    <row r="37" ht="21" customHeight="1" spans="2:15">
      <c r="B37" s="25" t="s">
        <v>999</v>
      </c>
      <c r="C37" s="25" t="e">
        <f>COUNTIFS(#REF!,B37)</f>
        <v>#REF!</v>
      </c>
      <c r="D37" s="25" t="e">
        <f>COUNTIFS(#REF!,B37)</f>
        <v>#REF!</v>
      </c>
      <c r="E37" s="25" t="e">
        <f t="shared" si="0"/>
        <v>#REF!</v>
      </c>
      <c r="G37" s="25">
        <v>7</v>
      </c>
      <c r="H37" s="25" t="s">
        <v>1000</v>
      </c>
      <c r="I37" s="38"/>
      <c r="J37" s="36">
        <v>1</v>
      </c>
      <c r="K37" s="36" t="s">
        <v>994</v>
      </c>
      <c r="L37" s="36">
        <v>4</v>
      </c>
      <c r="M37" s="35">
        <v>1200</v>
      </c>
      <c r="N37" s="35">
        <f t="shared" si="1"/>
        <v>4800</v>
      </c>
      <c r="O37" s="35"/>
    </row>
    <row r="38" ht="21" customHeight="1" spans="2:15">
      <c r="B38" s="25" t="s">
        <v>1001</v>
      </c>
      <c r="C38" s="25" t="e">
        <f>COUNTIFS(#REF!,B38)</f>
        <v>#REF!</v>
      </c>
      <c r="D38" s="25" t="e">
        <f>COUNTIFS(#REF!,B38)</f>
        <v>#REF!</v>
      </c>
      <c r="E38" s="25" t="e">
        <f t="shared" si="0"/>
        <v>#REF!</v>
      </c>
      <c r="G38" s="25">
        <v>8</v>
      </c>
      <c r="H38" s="25" t="s">
        <v>1002</v>
      </c>
      <c r="I38" s="38"/>
      <c r="J38" s="36">
        <v>1</v>
      </c>
      <c r="K38" s="36" t="s">
        <v>1</v>
      </c>
      <c r="L38" s="39">
        <v>1</v>
      </c>
      <c r="M38" s="35">
        <v>5000</v>
      </c>
      <c r="N38" s="35">
        <f t="shared" si="1"/>
        <v>5000</v>
      </c>
      <c r="O38" s="35"/>
    </row>
    <row r="39" ht="21" customHeight="1" spans="2:15">
      <c r="B39" s="25" t="s">
        <v>1003</v>
      </c>
      <c r="C39" s="25" t="e">
        <f>COUNTIFS(#REF!,B39)</f>
        <v>#REF!</v>
      </c>
      <c r="D39" s="25" t="e">
        <f>COUNTIFS(#REF!,B39)</f>
        <v>#REF!</v>
      </c>
      <c r="E39" s="25" t="e">
        <f t="shared" si="0"/>
        <v>#REF!</v>
      </c>
      <c r="G39" s="25">
        <v>9</v>
      </c>
      <c r="H39" s="25" t="s">
        <v>1004</v>
      </c>
      <c r="I39" s="38" t="s">
        <v>1005</v>
      </c>
      <c r="J39" s="36">
        <v>1</v>
      </c>
      <c r="K39" s="36" t="s">
        <v>1</v>
      </c>
      <c r="L39" s="39"/>
      <c r="M39" s="35"/>
      <c r="N39" s="35">
        <f>SUM(N31:N38)*6%</f>
        <v>7020</v>
      </c>
      <c r="O39" s="35"/>
    </row>
    <row r="40" ht="21" customHeight="1" spans="2:15">
      <c r="B40" s="25" t="s">
        <v>1006</v>
      </c>
      <c r="C40" s="25" t="e">
        <f>COUNTIFS(#REF!,B40)</f>
        <v>#REF!</v>
      </c>
      <c r="D40" s="25" t="e">
        <f>COUNTIFS(#REF!,B40)</f>
        <v>#REF!</v>
      </c>
      <c r="E40" s="25" t="e">
        <f t="shared" si="0"/>
        <v>#REF!</v>
      </c>
      <c r="G40" s="26"/>
      <c r="H40" s="26" t="s">
        <v>609</v>
      </c>
      <c r="I40" s="26"/>
      <c r="J40" s="26"/>
      <c r="K40" s="26"/>
      <c r="L40" s="26"/>
      <c r="M40" s="26"/>
      <c r="N40" s="35">
        <f>SUM(N31:N39)</f>
        <v>124020</v>
      </c>
      <c r="O40" s="35"/>
    </row>
    <row r="41" ht="21" customHeight="1" spans="2:5">
      <c r="B41" s="25" t="s">
        <v>1007</v>
      </c>
      <c r="C41" s="25" t="e">
        <f>COUNTIFS(#REF!,B41)</f>
        <v>#REF!</v>
      </c>
      <c r="D41" s="25" t="e">
        <f>COUNTIFS(#REF!,B41)</f>
        <v>#REF!</v>
      </c>
      <c r="E41" s="25" t="e">
        <f t="shared" si="0"/>
        <v>#REF!</v>
      </c>
    </row>
    <row r="42" ht="21" customHeight="1" spans="2:5">
      <c r="B42" s="25" t="s">
        <v>1008</v>
      </c>
      <c r="C42" s="25" t="e">
        <f>COUNTIFS(#REF!,B42)</f>
        <v>#REF!</v>
      </c>
      <c r="D42" s="25" t="e">
        <f>COUNTIFS(#REF!,B42)</f>
        <v>#REF!</v>
      </c>
      <c r="E42" s="25" t="e">
        <f t="shared" si="0"/>
        <v>#REF!</v>
      </c>
    </row>
    <row r="43" ht="15" spans="2:15">
      <c r="B43" s="25" t="s">
        <v>1009</v>
      </c>
      <c r="C43" s="25" t="e">
        <f>COUNTIFS(#REF!,B43)</f>
        <v>#REF!</v>
      </c>
      <c r="D43" s="25" t="e">
        <f>COUNTIFS(#REF!,B43)</f>
        <v>#REF!</v>
      </c>
      <c r="E43" s="25" t="e">
        <f t="shared" si="0"/>
        <v>#REF!</v>
      </c>
      <c r="G43" s="22" t="s">
        <v>430</v>
      </c>
      <c r="H43" s="27" t="s">
        <v>978</v>
      </c>
      <c r="I43" s="40" t="s">
        <v>979</v>
      </c>
      <c r="J43" s="31" t="s">
        <v>6</v>
      </c>
      <c r="K43" s="31"/>
      <c r="L43" s="31" t="s">
        <v>1010</v>
      </c>
      <c r="M43" s="31" t="s">
        <v>358</v>
      </c>
      <c r="N43" s="31" t="s">
        <v>359</v>
      </c>
      <c r="O43" s="31" t="s">
        <v>9</v>
      </c>
    </row>
    <row r="44" ht="21" customHeight="1" spans="2:15">
      <c r="B44" s="25" t="s">
        <v>1011</v>
      </c>
      <c r="C44" s="25" t="e">
        <f>COUNTIFS(#REF!,B44)</f>
        <v>#REF!</v>
      </c>
      <c r="D44" s="25" t="e">
        <f>COUNTIFS(#REF!,B44)</f>
        <v>#REF!</v>
      </c>
      <c r="E44" s="25" t="e">
        <f t="shared" si="0"/>
        <v>#REF!</v>
      </c>
      <c r="G44" s="25">
        <v>1</v>
      </c>
      <c r="H44" s="28" t="s">
        <v>662</v>
      </c>
      <c r="I44" s="38" t="s">
        <v>1012</v>
      </c>
      <c r="J44" s="36">
        <v>2</v>
      </c>
      <c r="K44" s="36"/>
      <c r="L44" s="36">
        <v>30</v>
      </c>
      <c r="M44" s="35">
        <v>0</v>
      </c>
      <c r="N44" s="36">
        <v>0</v>
      </c>
      <c r="O44" s="36" t="s">
        <v>1013</v>
      </c>
    </row>
    <row r="45" ht="21" customHeight="1" spans="2:15">
      <c r="B45" s="25" t="s">
        <v>1014</v>
      </c>
      <c r="C45" s="25" t="e">
        <f>COUNTIFS(#REF!,B45)</f>
        <v>#REF!</v>
      </c>
      <c r="D45" s="25" t="e">
        <f>COUNTIFS(#REF!,B45)</f>
        <v>#REF!</v>
      </c>
      <c r="E45" s="25" t="e">
        <f t="shared" si="0"/>
        <v>#REF!</v>
      </c>
      <c r="G45" s="25">
        <v>2</v>
      </c>
      <c r="H45" s="28" t="s">
        <v>1015</v>
      </c>
      <c r="I45" s="38" t="s">
        <v>1016</v>
      </c>
      <c r="J45" s="36">
        <v>2</v>
      </c>
      <c r="K45" s="36"/>
      <c r="L45" s="36">
        <v>30</v>
      </c>
      <c r="M45" s="35">
        <v>0</v>
      </c>
      <c r="N45" s="36">
        <v>0</v>
      </c>
      <c r="O45" s="36" t="s">
        <v>1013</v>
      </c>
    </row>
    <row r="46" ht="21" customHeight="1" spans="2:15">
      <c r="B46" s="25" t="s">
        <v>1017</v>
      </c>
      <c r="C46" s="25" t="e">
        <f>COUNTIFS(#REF!,B46)</f>
        <v>#REF!</v>
      </c>
      <c r="D46" s="25" t="e">
        <f>COUNTIFS(#REF!,B46)</f>
        <v>#REF!</v>
      </c>
      <c r="E46" s="25" t="e">
        <f t="shared" si="0"/>
        <v>#REF!</v>
      </c>
      <c r="G46" s="25">
        <v>3</v>
      </c>
      <c r="H46" s="28" t="s">
        <v>1018</v>
      </c>
      <c r="I46" s="38" t="s">
        <v>1019</v>
      </c>
      <c r="J46" s="36">
        <v>2</v>
      </c>
      <c r="K46" s="36"/>
      <c r="L46" s="36">
        <v>30</v>
      </c>
      <c r="M46" s="35">
        <v>0</v>
      </c>
      <c r="N46" s="36">
        <v>0</v>
      </c>
      <c r="O46" s="36" t="s">
        <v>1013</v>
      </c>
    </row>
    <row r="47" ht="21" customHeight="1" spans="2:15">
      <c r="B47" s="25" t="s">
        <v>1020</v>
      </c>
      <c r="C47" s="25" t="e">
        <f>COUNTIFS(#REF!,B47)</f>
        <v>#REF!</v>
      </c>
      <c r="D47" s="25" t="e">
        <f>COUNTIFS(#REF!,B47)</f>
        <v>#REF!</v>
      </c>
      <c r="E47" s="25" t="e">
        <f t="shared" si="0"/>
        <v>#REF!</v>
      </c>
      <c r="G47" s="25">
        <v>4</v>
      </c>
      <c r="H47" s="28" t="s">
        <v>1021</v>
      </c>
      <c r="I47" s="38" t="s">
        <v>1022</v>
      </c>
      <c r="J47" s="36">
        <v>2</v>
      </c>
      <c r="K47" s="36"/>
      <c r="L47" s="36">
        <v>30</v>
      </c>
      <c r="M47" s="35">
        <v>0</v>
      </c>
      <c r="N47" s="36">
        <v>0</v>
      </c>
      <c r="O47" s="36" t="s">
        <v>1013</v>
      </c>
    </row>
    <row r="48" ht="21" customHeight="1" spans="2:15">
      <c r="B48" s="25" t="s">
        <v>1023</v>
      </c>
      <c r="C48" s="25" t="e">
        <f>COUNTIFS(#REF!,B48)</f>
        <v>#REF!</v>
      </c>
      <c r="D48" s="25" t="e">
        <f>COUNTIFS(#REF!,B48)</f>
        <v>#REF!</v>
      </c>
      <c r="E48" s="25" t="e">
        <f t="shared" si="0"/>
        <v>#REF!</v>
      </c>
      <c r="G48" s="25">
        <v>5</v>
      </c>
      <c r="H48" s="28" t="s">
        <v>1024</v>
      </c>
      <c r="I48" s="38" t="s">
        <v>1025</v>
      </c>
      <c r="J48" s="36">
        <v>2</v>
      </c>
      <c r="K48" s="36"/>
      <c r="L48" s="36">
        <v>30</v>
      </c>
      <c r="M48" s="35">
        <v>0</v>
      </c>
      <c r="N48" s="36">
        <v>0</v>
      </c>
      <c r="O48" s="36" t="s">
        <v>1013</v>
      </c>
    </row>
    <row r="49" ht="21" customHeight="1" spans="2:15">
      <c r="B49" s="25" t="s">
        <v>1026</v>
      </c>
      <c r="C49" s="25" t="e">
        <f>COUNTIFS(#REF!,B49)</f>
        <v>#REF!</v>
      </c>
      <c r="D49" s="25" t="e">
        <f>COUNTIFS(#REF!,B49)</f>
        <v>#REF!</v>
      </c>
      <c r="E49" s="25" t="e">
        <f t="shared" si="0"/>
        <v>#REF!</v>
      </c>
      <c r="G49" s="25">
        <v>6</v>
      </c>
      <c r="H49" s="28" t="s">
        <v>990</v>
      </c>
      <c r="I49" s="38" t="s">
        <v>991</v>
      </c>
      <c r="J49" s="36">
        <v>1</v>
      </c>
      <c r="K49" s="36"/>
      <c r="L49" s="36">
        <v>2</v>
      </c>
      <c r="M49" s="35">
        <v>600</v>
      </c>
      <c r="N49" s="41">
        <f>J49*L49*M49</f>
        <v>1200</v>
      </c>
      <c r="O49" s="36"/>
    </row>
    <row r="50" ht="21" customHeight="1" spans="2:15">
      <c r="B50" s="25" t="s">
        <v>1027</v>
      </c>
      <c r="C50" s="25" t="e">
        <f>COUNTIFS(#REF!,B50)</f>
        <v>#REF!</v>
      </c>
      <c r="D50" s="25" t="e">
        <f>COUNTIFS(#REF!,B50)</f>
        <v>#REF!</v>
      </c>
      <c r="E50" s="25" t="e">
        <f t="shared" si="0"/>
        <v>#REF!</v>
      </c>
      <c r="G50" s="25">
        <v>7</v>
      </c>
      <c r="H50" s="28" t="s">
        <v>996</v>
      </c>
      <c r="I50" s="38"/>
      <c r="J50" s="36">
        <v>2</v>
      </c>
      <c r="K50" s="36"/>
      <c r="L50" s="36">
        <v>2</v>
      </c>
      <c r="M50" s="35">
        <v>800</v>
      </c>
      <c r="N50" s="41">
        <f>J50*L50*M50</f>
        <v>3200</v>
      </c>
      <c r="O50" s="36"/>
    </row>
    <row r="51" ht="21" customHeight="1" spans="2:15">
      <c r="B51" s="25" t="s">
        <v>1028</v>
      </c>
      <c r="C51" s="25" t="e">
        <f>COUNTIFS(#REF!,B51)</f>
        <v>#REF!</v>
      </c>
      <c r="D51" s="25" t="e">
        <f>COUNTIFS(#REF!,B51)</f>
        <v>#REF!</v>
      </c>
      <c r="E51" s="25" t="e">
        <f t="shared" si="0"/>
        <v>#REF!</v>
      </c>
      <c r="G51" s="25">
        <v>8</v>
      </c>
      <c r="H51" s="28" t="s">
        <v>1029</v>
      </c>
      <c r="I51" s="38"/>
      <c r="J51" s="36">
        <v>2</v>
      </c>
      <c r="K51" s="36"/>
      <c r="L51" s="36">
        <v>10</v>
      </c>
      <c r="M51" s="35">
        <v>1200</v>
      </c>
      <c r="N51" s="41">
        <f>J51*L51*M51</f>
        <v>24000</v>
      </c>
      <c r="O51" s="36"/>
    </row>
    <row r="52" ht="21" customHeight="1" spans="2:15">
      <c r="B52" s="25" t="s">
        <v>1030</v>
      </c>
      <c r="C52" s="25" t="e">
        <f>COUNTIFS(#REF!,B52)</f>
        <v>#REF!</v>
      </c>
      <c r="D52" s="25" t="e">
        <f>COUNTIFS(#REF!,B52)</f>
        <v>#REF!</v>
      </c>
      <c r="E52" s="25" t="e">
        <f t="shared" si="0"/>
        <v>#REF!</v>
      </c>
      <c r="G52" s="25">
        <v>9</v>
      </c>
      <c r="H52" s="28" t="s">
        <v>1031</v>
      </c>
      <c r="I52" s="38"/>
      <c r="J52" s="36">
        <v>1</v>
      </c>
      <c r="K52" s="36"/>
      <c r="L52" s="36">
        <v>5</v>
      </c>
      <c r="M52" s="35">
        <v>1200</v>
      </c>
      <c r="N52" s="41">
        <f>J52*L52*M52</f>
        <v>6000</v>
      </c>
      <c r="O52" s="36"/>
    </row>
    <row r="53" ht="21" customHeight="1" spans="2:15">
      <c r="B53" s="25" t="s">
        <v>1032</v>
      </c>
      <c r="C53" s="25" t="e">
        <f>COUNTIFS(#REF!,B53)</f>
        <v>#REF!</v>
      </c>
      <c r="D53" s="25" t="e">
        <f>COUNTIFS(#REF!,B53)</f>
        <v>#REF!</v>
      </c>
      <c r="E53" s="25" t="e">
        <f t="shared" si="0"/>
        <v>#REF!</v>
      </c>
      <c r="G53" s="25">
        <v>10</v>
      </c>
      <c r="H53" s="28" t="s">
        <v>1033</v>
      </c>
      <c r="I53" s="28" t="s">
        <v>1034</v>
      </c>
      <c r="J53" s="36">
        <v>1</v>
      </c>
      <c r="K53" s="36"/>
      <c r="L53" s="42">
        <v>1</v>
      </c>
      <c r="M53" s="35">
        <v>5000</v>
      </c>
      <c r="N53" s="41">
        <f>J53*L53*M53</f>
        <v>5000</v>
      </c>
      <c r="O53" s="36" t="s">
        <v>1035</v>
      </c>
    </row>
    <row r="54" ht="21" customHeight="1" spans="2:15">
      <c r="B54" s="25" t="s">
        <v>1036</v>
      </c>
      <c r="C54" s="25" t="e">
        <f>COUNTIFS(#REF!,B54)</f>
        <v>#REF!</v>
      </c>
      <c r="D54" s="25" t="e">
        <f>COUNTIFS(#REF!,B54)</f>
        <v>#REF!</v>
      </c>
      <c r="E54" s="25" t="e">
        <f t="shared" si="0"/>
        <v>#REF!</v>
      </c>
      <c r="G54" s="25"/>
      <c r="H54" s="26" t="s">
        <v>609</v>
      </c>
      <c r="I54" s="26"/>
      <c r="J54" s="26"/>
      <c r="K54" s="26"/>
      <c r="L54" s="26"/>
      <c r="M54" s="26"/>
      <c r="N54" s="41">
        <f>SUM(N49:N53)</f>
        <v>39400</v>
      </c>
      <c r="O54" s="43"/>
    </row>
    <row r="55" ht="21" customHeight="1" spans="2:5">
      <c r="B55" s="25" t="s">
        <v>609</v>
      </c>
      <c r="C55" s="25" t="e">
        <f>SUM(C32:C54)</f>
        <v>#REF!</v>
      </c>
      <c r="D55" s="25" t="e">
        <f>SUM(D32:D54)</f>
        <v>#REF!</v>
      </c>
      <c r="E55" s="25" t="e">
        <f t="shared" si="0"/>
        <v>#REF!</v>
      </c>
    </row>
    <row r="57" ht="14.25"/>
    <row r="58" ht="15" spans="8:9">
      <c r="H58" s="29" t="s">
        <v>1037</v>
      </c>
      <c r="I58" s="29" t="s">
        <v>1038</v>
      </c>
    </row>
    <row r="59" ht="15" spans="8:9">
      <c r="H59" s="30" t="s">
        <v>1039</v>
      </c>
      <c r="I59" s="30" t="s">
        <v>1040</v>
      </c>
    </row>
    <row r="60" ht="29.25" spans="8:9">
      <c r="H60" s="30" t="s">
        <v>1041</v>
      </c>
      <c r="I60" s="30" t="s">
        <v>1042</v>
      </c>
    </row>
    <row r="61" ht="29.25" spans="8:9">
      <c r="H61" s="30" t="s">
        <v>1043</v>
      </c>
      <c r="I61" s="30" t="s">
        <v>1044</v>
      </c>
    </row>
    <row r="64" spans="20:20">
      <c r="T64"/>
    </row>
    <row r="65" ht="14.25" spans="20:20">
      <c r="T65"/>
    </row>
    <row r="66" ht="14.25" spans="16:20">
      <c r="P66" s="44" t="s">
        <v>430</v>
      </c>
      <c r="Q66" s="44" t="s">
        <v>1045</v>
      </c>
      <c r="R66" s="11" t="s">
        <v>437</v>
      </c>
      <c r="S66" s="11" t="s">
        <v>438</v>
      </c>
      <c r="T66"/>
    </row>
    <row r="67" ht="14.25" spans="16:20">
      <c r="P67" s="45">
        <v>1</v>
      </c>
      <c r="Q67" s="21" t="s">
        <v>964</v>
      </c>
      <c r="R67" s="46">
        <v>113.38388</v>
      </c>
      <c r="S67" s="46">
        <v>22.51222</v>
      </c>
      <c r="T67"/>
    </row>
    <row r="68" ht="14.25" spans="16:20">
      <c r="P68" s="45">
        <v>2</v>
      </c>
      <c r="Q68" s="21" t="s">
        <v>972</v>
      </c>
      <c r="R68" s="46" t="e">
        <f>VLOOKUP(Q68,#REF!,3,FALSE)</f>
        <v>#REF!</v>
      </c>
      <c r="S68" s="46" t="e">
        <f>VLOOKUP(Q68,#REF!,4,FALSE)</f>
        <v>#REF!</v>
      </c>
      <c r="T68"/>
    </row>
    <row r="69" ht="14.25" spans="16:20">
      <c r="P69" s="45">
        <v>3</v>
      </c>
      <c r="Q69" s="21" t="s">
        <v>968</v>
      </c>
      <c r="R69" s="46">
        <v>113.30789</v>
      </c>
      <c r="S69" s="46">
        <v>22.50777</v>
      </c>
      <c r="T69"/>
    </row>
    <row r="70" ht="14.25" spans="16:20">
      <c r="P70" s="45">
        <v>4</v>
      </c>
      <c r="Q70" s="21" t="s">
        <v>1046</v>
      </c>
      <c r="R70" s="46">
        <v>113.27749</v>
      </c>
      <c r="S70" s="46">
        <v>22.61345</v>
      </c>
      <c r="T70"/>
    </row>
    <row r="71" ht="14.25" spans="16:20">
      <c r="P71" s="45">
        <v>5</v>
      </c>
      <c r="Q71" s="21" t="s">
        <v>1047</v>
      </c>
      <c r="R71" s="46">
        <v>113.34494</v>
      </c>
      <c r="S71" s="46">
        <v>22.66979</v>
      </c>
      <c r="T71"/>
    </row>
    <row r="72" ht="14.25" spans="16:20">
      <c r="P72" s="45">
        <v>6</v>
      </c>
      <c r="Q72" s="21" t="s">
        <v>1048</v>
      </c>
      <c r="R72" s="46">
        <v>113.23245</v>
      </c>
      <c r="S72" s="46">
        <v>22.629</v>
      </c>
      <c r="T72"/>
    </row>
    <row r="73" ht="14.25" spans="16:20">
      <c r="P73" s="45">
        <v>7</v>
      </c>
      <c r="Q73" s="21" t="s">
        <v>1049</v>
      </c>
      <c r="R73" s="46">
        <v>113.57465</v>
      </c>
      <c r="S73" s="46">
        <v>22.57539</v>
      </c>
      <c r="T73"/>
    </row>
    <row r="74" ht="14.25" spans="16:20">
      <c r="P74" s="45">
        <v>8</v>
      </c>
      <c r="Q74" s="21" t="s">
        <v>1050</v>
      </c>
      <c r="R74" s="46">
        <v>113.36376</v>
      </c>
      <c r="S74" s="46">
        <v>22.51038</v>
      </c>
      <c r="T74"/>
    </row>
    <row r="75" ht="14.25" spans="16:20">
      <c r="P75" s="45">
        <v>9</v>
      </c>
      <c r="Q75" s="21" t="s">
        <v>956</v>
      </c>
      <c r="R75" s="46">
        <v>113.17497</v>
      </c>
      <c r="S75" s="46">
        <v>22.66372</v>
      </c>
      <c r="T75"/>
    </row>
    <row r="76" ht="14.25" spans="16:20">
      <c r="P76" s="45">
        <v>10</v>
      </c>
      <c r="Q76" s="21" t="s">
        <v>958</v>
      </c>
      <c r="R76" s="46">
        <v>113.28436</v>
      </c>
      <c r="S76" s="46">
        <v>22.72093</v>
      </c>
      <c r="T76"/>
    </row>
    <row r="77" ht="14.25" spans="16:20">
      <c r="P77" s="45">
        <v>11</v>
      </c>
      <c r="Q77" s="21" t="s">
        <v>1051</v>
      </c>
      <c r="R77" s="46">
        <v>113.46317</v>
      </c>
      <c r="S77" s="46">
        <v>22.70512</v>
      </c>
      <c r="T77"/>
    </row>
    <row r="78" ht="14.25" spans="16:20">
      <c r="P78" s="45">
        <v>12</v>
      </c>
      <c r="Q78" s="21" t="s">
        <v>973</v>
      </c>
      <c r="R78" s="46">
        <v>113.45779</v>
      </c>
      <c r="S78" s="46">
        <v>22.27852</v>
      </c>
      <c r="T78"/>
    </row>
    <row r="79" ht="14.25" spans="16:20">
      <c r="P79" s="45">
        <v>13</v>
      </c>
      <c r="T79"/>
    </row>
    <row r="80" ht="14.25" spans="16:20">
      <c r="P80" s="45">
        <v>11</v>
      </c>
      <c r="T80"/>
    </row>
    <row r="81" ht="14.25" spans="16:20">
      <c r="P81" s="45">
        <v>12</v>
      </c>
      <c r="T81"/>
    </row>
    <row r="82" spans="20:20">
      <c r="T82"/>
    </row>
    <row r="83" spans="20:20">
      <c r="T83"/>
    </row>
    <row r="84" spans="20:20">
      <c r="T84"/>
    </row>
    <row r="85" spans="20:20">
      <c r="T85"/>
    </row>
    <row r="86" spans="20:20">
      <c r="T86"/>
    </row>
    <row r="87" spans="20:20">
      <c r="T87"/>
    </row>
    <row r="88" spans="20:20">
      <c r="T88"/>
    </row>
    <row r="89" spans="20:20">
      <c r="T89"/>
    </row>
    <row r="90" spans="20:20">
      <c r="T90"/>
    </row>
    <row r="91" spans="20:20">
      <c r="T91"/>
    </row>
    <row r="92" spans="20:20">
      <c r="T92"/>
    </row>
    <row r="93" spans="20:20">
      <c r="T93"/>
    </row>
    <row r="94" spans="20:20">
      <c r="T94"/>
    </row>
    <row r="95" spans="20:20">
      <c r="T95"/>
    </row>
    <row r="96" spans="20:20">
      <c r="T96"/>
    </row>
    <row r="97" spans="20:20">
      <c r="T97"/>
    </row>
    <row r="98" spans="20:20">
      <c r="T98"/>
    </row>
    <row r="99" spans="20:20">
      <c r="T99"/>
    </row>
    <row r="100" spans="20:20">
      <c r="T100"/>
    </row>
    <row r="101" spans="20:20">
      <c r="T101"/>
    </row>
    <row r="102" spans="20:20">
      <c r="T102"/>
    </row>
    <row r="103" spans="20:20">
      <c r="T103"/>
    </row>
    <row r="104" spans="20:20">
      <c r="T104"/>
    </row>
    <row r="105" spans="20:20">
      <c r="T105"/>
    </row>
    <row r="106" spans="20:20">
      <c r="T106"/>
    </row>
    <row r="107" spans="20:20">
      <c r="T107"/>
    </row>
    <row r="108" spans="20:20">
      <c r="T108"/>
    </row>
    <row r="109" spans="20:20">
      <c r="T109"/>
    </row>
    <row r="110" spans="20:20">
      <c r="T110"/>
    </row>
    <row r="111" spans="20:20">
      <c r="T111"/>
    </row>
    <row r="112" spans="20:20">
      <c r="T112"/>
    </row>
    <row r="113" spans="20:20">
      <c r="T113"/>
    </row>
    <row r="114" spans="20:20">
      <c r="T114"/>
    </row>
    <row r="115" spans="20:20">
      <c r="T115"/>
    </row>
    <row r="116" spans="20:20">
      <c r="T116"/>
    </row>
    <row r="117" spans="20:20">
      <c r="T117"/>
    </row>
    <row r="118" spans="20:20">
      <c r="T118"/>
    </row>
    <row r="119" spans="20:20">
      <c r="T119"/>
    </row>
    <row r="120" spans="20:20">
      <c r="T120"/>
    </row>
    <row r="121" spans="20:20">
      <c r="T121"/>
    </row>
    <row r="122" spans="20:20">
      <c r="T122"/>
    </row>
    <row r="123" spans="20:20">
      <c r="T123"/>
    </row>
    <row r="124" spans="20:20">
      <c r="T124"/>
    </row>
    <row r="125" spans="20:20">
      <c r="T125"/>
    </row>
    <row r="126" spans="20:20">
      <c r="T126"/>
    </row>
    <row r="127" spans="20:20">
      <c r="T127"/>
    </row>
    <row r="128" spans="20:20">
      <c r="T128"/>
    </row>
    <row r="129" spans="20:20">
      <c r="T129"/>
    </row>
    <row r="130" spans="20:20">
      <c r="T130"/>
    </row>
    <row r="131" spans="20:20">
      <c r="T131"/>
    </row>
    <row r="132" spans="20:20">
      <c r="T132"/>
    </row>
    <row r="133" spans="20:20">
      <c r="T133"/>
    </row>
    <row r="134" spans="20:20">
      <c r="T134"/>
    </row>
    <row r="135" spans="20:20">
      <c r="T135"/>
    </row>
    <row r="136" spans="20:20">
      <c r="T136"/>
    </row>
    <row r="137" spans="20:20">
      <c r="T137"/>
    </row>
    <row r="138" spans="20:20">
      <c r="T138"/>
    </row>
    <row r="139" spans="20:20">
      <c r="T139"/>
    </row>
    <row r="140" spans="20:20">
      <c r="T140"/>
    </row>
    <row r="141" spans="20:20">
      <c r="T141"/>
    </row>
    <row r="142" spans="20:20">
      <c r="T142"/>
    </row>
    <row r="143" spans="20:20">
      <c r="T143"/>
    </row>
    <row r="144" spans="20:20">
      <c r="T144"/>
    </row>
    <row r="145" spans="20:20">
      <c r="T145"/>
    </row>
    <row r="146" spans="20:20">
      <c r="T146"/>
    </row>
    <row r="147" spans="20:20">
      <c r="T147"/>
    </row>
    <row r="148" spans="20:20">
      <c r="T148"/>
    </row>
    <row r="149" spans="20:20">
      <c r="T149"/>
    </row>
    <row r="150" spans="20:20">
      <c r="T150"/>
    </row>
    <row r="151" spans="20:20">
      <c r="T151"/>
    </row>
    <row r="152" spans="20:20">
      <c r="T152"/>
    </row>
    <row r="153" spans="20:20">
      <c r="T153"/>
    </row>
  </sheetData>
  <mergeCells count="6">
    <mergeCell ref="J31:J32"/>
    <mergeCell ref="K31:K32"/>
    <mergeCell ref="L31:L32"/>
    <mergeCell ref="M31:M32"/>
    <mergeCell ref="N31:N32"/>
    <mergeCell ref="O51:O5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zoomScale="85" zoomScaleNormal="85" topLeftCell="A20" workbookViewId="0">
      <selection activeCell="A53" sqref="A53"/>
    </sheetView>
  </sheetViews>
  <sheetFormatPr defaultColWidth="8.88333333333333" defaultRowHeight="13.5" outlineLevelCol="1"/>
  <cols>
    <col min="1" max="1" width="28.7583333333333" customWidth="1"/>
    <col min="2" max="2" width="81.5" customWidth="1"/>
  </cols>
  <sheetData>
    <row r="1" ht="26.1" customHeight="1" spans="1:2">
      <c r="A1" s="11" t="s">
        <v>1052</v>
      </c>
      <c r="B1" s="11" t="s">
        <v>1053</v>
      </c>
    </row>
    <row r="2" ht="14.25" spans="1:2">
      <c r="A2" s="12" t="s">
        <v>1054</v>
      </c>
      <c r="B2" s="12" t="s">
        <v>1055</v>
      </c>
    </row>
    <row r="3" ht="14.25" spans="1:2">
      <c r="A3" s="12" t="s">
        <v>1056</v>
      </c>
      <c r="B3" s="12" t="s">
        <v>1057</v>
      </c>
    </row>
    <row r="4" ht="14.25" spans="1:2">
      <c r="A4" s="12" t="s">
        <v>1058</v>
      </c>
      <c r="B4" s="12" t="s">
        <v>1059</v>
      </c>
    </row>
    <row r="5" ht="14.25" spans="1:2">
      <c r="A5" s="12" t="s">
        <v>1060</v>
      </c>
      <c r="B5" s="12" t="s">
        <v>1061</v>
      </c>
    </row>
    <row r="6" ht="14.25" spans="1:2">
      <c r="A6" s="12" t="s">
        <v>1062</v>
      </c>
      <c r="B6" s="12" t="s">
        <v>1063</v>
      </c>
    </row>
    <row r="7" ht="14.25" spans="1:2">
      <c r="A7" s="12" t="s">
        <v>1064</v>
      </c>
      <c r="B7" s="12" t="s">
        <v>1065</v>
      </c>
    </row>
    <row r="8" ht="14.25" spans="1:2">
      <c r="A8" s="12" t="s">
        <v>1066</v>
      </c>
      <c r="B8" s="12" t="s">
        <v>1067</v>
      </c>
    </row>
    <row r="9" ht="14.25" spans="1:2">
      <c r="A9" s="12" t="s">
        <v>1068</v>
      </c>
      <c r="B9" s="12" t="s">
        <v>1069</v>
      </c>
    </row>
    <row r="10" ht="14.25" spans="1:2">
      <c r="A10" s="12" t="s">
        <v>1070</v>
      </c>
      <c r="B10" s="12" t="s">
        <v>1071</v>
      </c>
    </row>
    <row r="11" ht="14.25" spans="1:2">
      <c r="A11" s="12" t="s">
        <v>1072</v>
      </c>
      <c r="B11" s="12" t="s">
        <v>1073</v>
      </c>
    </row>
    <row r="12" ht="14.25" spans="1:2">
      <c r="A12" s="12" t="s">
        <v>1074</v>
      </c>
      <c r="B12" s="12" t="s">
        <v>1075</v>
      </c>
    </row>
    <row r="13" ht="14.25" spans="1:2">
      <c r="A13" s="12" t="s">
        <v>1076</v>
      </c>
      <c r="B13" s="12" t="s">
        <v>1077</v>
      </c>
    </row>
    <row r="14" ht="14.25" spans="1:2">
      <c r="A14" s="12" t="s">
        <v>1078</v>
      </c>
      <c r="B14" s="12" t="s">
        <v>1079</v>
      </c>
    </row>
    <row r="15" ht="14.25" spans="1:2">
      <c r="A15" s="12" t="s">
        <v>1080</v>
      </c>
      <c r="B15" s="12" t="s">
        <v>1081</v>
      </c>
    </row>
    <row r="16" ht="14.25" spans="1:2">
      <c r="A16" s="12" t="s">
        <v>1082</v>
      </c>
      <c r="B16" s="12" t="s">
        <v>1083</v>
      </c>
    </row>
    <row r="17" ht="14.25" spans="1:2">
      <c r="A17" s="12" t="s">
        <v>1084</v>
      </c>
      <c r="B17" s="12" t="s">
        <v>1085</v>
      </c>
    </row>
    <row r="18" ht="14.25" spans="1:2">
      <c r="A18" s="12" t="s">
        <v>1086</v>
      </c>
      <c r="B18" s="12" t="s">
        <v>1087</v>
      </c>
    </row>
    <row r="19" ht="14.25" spans="1:2">
      <c r="A19" s="12" t="s">
        <v>1088</v>
      </c>
      <c r="B19" s="12" t="s">
        <v>1089</v>
      </c>
    </row>
    <row r="20" ht="14.25" spans="1:2">
      <c r="A20" s="12" t="s">
        <v>1090</v>
      </c>
      <c r="B20" s="12" t="s">
        <v>1091</v>
      </c>
    </row>
    <row r="21" ht="14.25" spans="1:2">
      <c r="A21" s="12" t="s">
        <v>1092</v>
      </c>
      <c r="B21" s="12" t="s">
        <v>1093</v>
      </c>
    </row>
    <row r="22" ht="14.25" spans="1:2">
      <c r="A22" s="12" t="s">
        <v>1094</v>
      </c>
      <c r="B22" s="12" t="s">
        <v>1095</v>
      </c>
    </row>
    <row r="23" ht="14.25" spans="1:2">
      <c r="A23" s="12" t="s">
        <v>1096</v>
      </c>
      <c r="B23" s="12" t="s">
        <v>1097</v>
      </c>
    </row>
    <row r="24" ht="14.25" spans="1:2">
      <c r="A24" s="12" t="s">
        <v>1098</v>
      </c>
      <c r="B24" s="12" t="s">
        <v>1099</v>
      </c>
    </row>
    <row r="25" ht="14.25" spans="1:2">
      <c r="A25" s="12" t="s">
        <v>1100</v>
      </c>
      <c r="B25" s="12" t="s">
        <v>1101</v>
      </c>
    </row>
    <row r="26" ht="14.25" spans="1:2">
      <c r="A26" s="12" t="s">
        <v>1102</v>
      </c>
      <c r="B26" s="12" t="s">
        <v>1103</v>
      </c>
    </row>
    <row r="27" ht="14.25" spans="1:2">
      <c r="A27" s="12" t="s">
        <v>1104</v>
      </c>
      <c r="B27" s="12" t="s">
        <v>1105</v>
      </c>
    </row>
    <row r="28" ht="14.25" spans="1:2">
      <c r="A28" s="12" t="s">
        <v>1106</v>
      </c>
      <c r="B28" s="12" t="s">
        <v>1107</v>
      </c>
    </row>
    <row r="29" ht="14.25" spans="1:2">
      <c r="A29" s="12" t="s">
        <v>1108</v>
      </c>
      <c r="B29" s="12" t="s">
        <v>1109</v>
      </c>
    </row>
    <row r="30" ht="14.25" spans="1:2">
      <c r="A30" s="12" t="s">
        <v>1110</v>
      </c>
      <c r="B30" s="12" t="s">
        <v>1111</v>
      </c>
    </row>
    <row r="31" ht="14.25" spans="1:2">
      <c r="A31" s="12" t="s">
        <v>185</v>
      </c>
      <c r="B31" s="12" t="s">
        <v>1112</v>
      </c>
    </row>
    <row r="32" ht="14.25" spans="1:2">
      <c r="A32" s="12" t="s">
        <v>189</v>
      </c>
      <c r="B32" s="12" t="s">
        <v>1113</v>
      </c>
    </row>
    <row r="33" ht="14.25" spans="1:2">
      <c r="A33" s="12" t="s">
        <v>1114</v>
      </c>
      <c r="B33" s="12" t="s">
        <v>1115</v>
      </c>
    </row>
    <row r="34" ht="14.25" spans="1:2">
      <c r="A34" s="12" t="s">
        <v>1116</v>
      </c>
      <c r="B34" s="12" t="s">
        <v>1117</v>
      </c>
    </row>
    <row r="35" ht="18" spans="1:2">
      <c r="A35" s="13" t="s">
        <v>1118</v>
      </c>
      <c r="B35" s="14" t="s">
        <v>1119</v>
      </c>
    </row>
    <row r="36" ht="18" spans="1:2">
      <c r="A36" s="12" t="s">
        <v>1120</v>
      </c>
      <c r="B36" s="14" t="s">
        <v>1121</v>
      </c>
    </row>
    <row r="37" ht="18" spans="1:2">
      <c r="A37" s="12" t="s">
        <v>1122</v>
      </c>
      <c r="B37" s="14" t="s">
        <v>1123</v>
      </c>
    </row>
    <row r="38" ht="18" spans="1:2">
      <c r="A38" s="12" t="s">
        <v>1124</v>
      </c>
      <c r="B38" s="14" t="s">
        <v>1125</v>
      </c>
    </row>
  </sheetData>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zoomScale="115" zoomScaleNormal="115" workbookViewId="0">
      <selection activeCell="E26" sqref="A1:E26"/>
    </sheetView>
  </sheetViews>
  <sheetFormatPr defaultColWidth="8.88333333333333" defaultRowHeight="13.5" outlineLevelCol="4"/>
  <cols>
    <col min="1" max="1" width="8.88333333333333" style="1"/>
    <col min="2" max="2" width="26.7583333333333" style="2" customWidth="1"/>
    <col min="3" max="3" width="35.1333333333333" customWidth="1"/>
    <col min="4" max="4" width="37.6333333333333" customWidth="1"/>
  </cols>
  <sheetData>
    <row r="1" ht="14.25" spans="1:5">
      <c r="A1" s="3" t="s">
        <v>430</v>
      </c>
      <c r="B1" s="3" t="s">
        <v>1126</v>
      </c>
      <c r="C1" s="3" t="s">
        <v>1127</v>
      </c>
      <c r="D1" s="3" t="s">
        <v>1128</v>
      </c>
      <c r="E1" s="3" t="s">
        <v>1129</v>
      </c>
    </row>
    <row r="2" ht="65.1" customHeight="1" spans="1:5">
      <c r="A2" s="4">
        <v>1</v>
      </c>
      <c r="B2" s="4" t="s">
        <v>1130</v>
      </c>
      <c r="C2" s="5" t="s">
        <v>1131</v>
      </c>
      <c r="D2" s="5" t="s">
        <v>1132</v>
      </c>
      <c r="E2" s="5" t="s">
        <v>1133</v>
      </c>
    </row>
    <row r="3" ht="65.1" customHeight="1" spans="1:5">
      <c r="A3" s="4">
        <v>2</v>
      </c>
      <c r="B3" s="4" t="s">
        <v>1134</v>
      </c>
      <c r="C3" s="5" t="s">
        <v>1135</v>
      </c>
      <c r="D3" s="5" t="s">
        <v>1136</v>
      </c>
      <c r="E3" s="5" t="s">
        <v>1133</v>
      </c>
    </row>
    <row r="4" ht="99" customHeight="1" spans="1:5">
      <c r="A4" s="4">
        <v>3</v>
      </c>
      <c r="B4" s="4" t="s">
        <v>1137</v>
      </c>
      <c r="C4" s="5" t="s">
        <v>1138</v>
      </c>
      <c r="D4" s="5" t="s">
        <v>1139</v>
      </c>
      <c r="E4" s="5" t="s">
        <v>1133</v>
      </c>
    </row>
    <row r="5" ht="87.95" customHeight="1" spans="1:5">
      <c r="A5" s="4">
        <v>4</v>
      </c>
      <c r="B5" s="4" t="s">
        <v>1140</v>
      </c>
      <c r="C5" s="5" t="s">
        <v>1141</v>
      </c>
      <c r="D5" s="5" t="s">
        <v>1142</v>
      </c>
      <c r="E5" s="5" t="s">
        <v>1133</v>
      </c>
    </row>
    <row r="6" ht="65.1" customHeight="1" spans="1:5">
      <c r="A6" s="4">
        <v>5</v>
      </c>
      <c r="B6" s="4" t="s">
        <v>1143</v>
      </c>
      <c r="C6" s="5" t="s">
        <v>1144</v>
      </c>
      <c r="D6" s="5" t="s">
        <v>1145</v>
      </c>
      <c r="E6" s="5" t="s">
        <v>1146</v>
      </c>
    </row>
    <row r="7" ht="65.1" customHeight="1" spans="1:5">
      <c r="A7" s="4">
        <v>6</v>
      </c>
      <c r="B7" s="4" t="s">
        <v>1147</v>
      </c>
      <c r="C7" s="5" t="s">
        <v>1148</v>
      </c>
      <c r="D7" s="5" t="s">
        <v>1149</v>
      </c>
      <c r="E7" s="5" t="s">
        <v>1133</v>
      </c>
    </row>
    <row r="8" ht="65.1" customHeight="1" spans="1:5">
      <c r="A8" s="4">
        <v>7</v>
      </c>
      <c r="B8" s="4" t="s">
        <v>1150</v>
      </c>
      <c r="C8" s="5" t="s">
        <v>1151</v>
      </c>
      <c r="D8" s="5" t="s">
        <v>1152</v>
      </c>
      <c r="E8" s="5" t="s">
        <v>1146</v>
      </c>
    </row>
    <row r="9" ht="65.1" customHeight="1" spans="1:5">
      <c r="A9" s="4">
        <v>8</v>
      </c>
      <c r="B9" s="4" t="s">
        <v>1150</v>
      </c>
      <c r="C9" s="5" t="s">
        <v>1153</v>
      </c>
      <c r="D9" s="5" t="s">
        <v>1154</v>
      </c>
      <c r="E9" s="5" t="s">
        <v>1133</v>
      </c>
    </row>
    <row r="10" ht="65.1" customHeight="1" spans="1:5">
      <c r="A10" s="4">
        <v>9</v>
      </c>
      <c r="B10" s="4" t="s">
        <v>1150</v>
      </c>
      <c r="C10" s="5" t="s">
        <v>1155</v>
      </c>
      <c r="D10" s="5" t="s">
        <v>1156</v>
      </c>
      <c r="E10" s="5" t="s">
        <v>1146</v>
      </c>
    </row>
    <row r="11" ht="78.95" customHeight="1" spans="1:5">
      <c r="A11" s="4">
        <v>10</v>
      </c>
      <c r="B11" s="4" t="s">
        <v>1157</v>
      </c>
      <c r="C11" s="5" t="s">
        <v>1158</v>
      </c>
      <c r="D11" s="5" t="s">
        <v>1159</v>
      </c>
      <c r="E11" s="5" t="s">
        <v>1133</v>
      </c>
    </row>
    <row r="12" ht="65.1" customHeight="1" spans="1:5">
      <c r="A12" s="4">
        <v>11</v>
      </c>
      <c r="B12" s="4" t="s">
        <v>1160</v>
      </c>
      <c r="C12" s="5" t="s">
        <v>1161</v>
      </c>
      <c r="D12" s="5" t="s">
        <v>1162</v>
      </c>
      <c r="E12" s="5" t="s">
        <v>1146</v>
      </c>
    </row>
    <row r="13" ht="65.1" customHeight="1" spans="1:5">
      <c r="A13" s="4">
        <v>12</v>
      </c>
      <c r="B13" s="4" t="s">
        <v>1163</v>
      </c>
      <c r="C13" s="5" t="s">
        <v>1164</v>
      </c>
      <c r="D13" s="5" t="s">
        <v>1165</v>
      </c>
      <c r="E13" s="5" t="s">
        <v>1146</v>
      </c>
    </row>
    <row r="14" ht="65.1" customHeight="1" spans="1:5">
      <c r="A14" s="4">
        <v>13</v>
      </c>
      <c r="B14" s="4" t="s">
        <v>1166</v>
      </c>
      <c r="C14" s="5" t="s">
        <v>1167</v>
      </c>
      <c r="D14" s="5" t="s">
        <v>1168</v>
      </c>
      <c r="E14" s="5" t="s">
        <v>1146</v>
      </c>
    </row>
    <row r="15" ht="65.1" customHeight="1" spans="1:5">
      <c r="A15" s="4">
        <v>14</v>
      </c>
      <c r="B15" s="4" t="s">
        <v>1169</v>
      </c>
      <c r="C15" s="5" t="s">
        <v>1170</v>
      </c>
      <c r="D15" s="5" t="s">
        <v>1171</v>
      </c>
      <c r="E15" s="5" t="s">
        <v>1146</v>
      </c>
    </row>
    <row r="16" ht="65.1" customHeight="1" spans="1:5">
      <c r="A16" s="4">
        <v>15</v>
      </c>
      <c r="B16" s="4" t="s">
        <v>1130</v>
      </c>
      <c r="C16" s="6" t="s">
        <v>1172</v>
      </c>
      <c r="D16" s="6" t="s">
        <v>1173</v>
      </c>
      <c r="E16" s="5" t="s">
        <v>1146</v>
      </c>
    </row>
    <row r="17" ht="65.1" customHeight="1" spans="1:5">
      <c r="A17" s="4">
        <v>16</v>
      </c>
      <c r="B17" s="7" t="s">
        <v>1174</v>
      </c>
      <c r="C17" s="6" t="s">
        <v>1175</v>
      </c>
      <c r="D17" s="6" t="s">
        <v>1176</v>
      </c>
      <c r="E17" s="5" t="s">
        <v>1133</v>
      </c>
    </row>
    <row r="18" ht="24.75" spans="1:5">
      <c r="A18" s="4">
        <v>17</v>
      </c>
      <c r="B18" s="7" t="s">
        <v>1177</v>
      </c>
      <c r="C18" s="6" t="s">
        <v>1178</v>
      </c>
      <c r="D18" s="8" t="s">
        <v>1179</v>
      </c>
      <c r="E18" s="5" t="s">
        <v>1133</v>
      </c>
    </row>
    <row r="19" ht="24.75" spans="1:5">
      <c r="A19" s="4">
        <v>18</v>
      </c>
      <c r="B19" s="7" t="s">
        <v>1177</v>
      </c>
      <c r="C19" s="6" t="s">
        <v>1180</v>
      </c>
      <c r="D19" s="8" t="s">
        <v>1181</v>
      </c>
      <c r="E19" s="5" t="s">
        <v>1133</v>
      </c>
    </row>
    <row r="20" ht="24.75" spans="1:5">
      <c r="A20" s="4">
        <v>19</v>
      </c>
      <c r="B20" s="7" t="s">
        <v>1182</v>
      </c>
      <c r="C20" s="6" t="s">
        <v>1183</v>
      </c>
      <c r="D20" s="8" t="s">
        <v>1184</v>
      </c>
      <c r="E20" s="5" t="s">
        <v>1146</v>
      </c>
    </row>
    <row r="21" ht="24.75" spans="1:5">
      <c r="A21" s="4">
        <v>20</v>
      </c>
      <c r="B21" s="7" t="s">
        <v>1182</v>
      </c>
      <c r="C21" s="6" t="s">
        <v>1185</v>
      </c>
      <c r="D21" s="6" t="s">
        <v>1186</v>
      </c>
      <c r="E21" s="5" t="s">
        <v>1133</v>
      </c>
    </row>
    <row r="22" ht="24.75" spans="1:5">
      <c r="A22" s="4">
        <v>21</v>
      </c>
      <c r="B22" s="7" t="s">
        <v>1182</v>
      </c>
      <c r="C22" s="6" t="s">
        <v>1187</v>
      </c>
      <c r="D22" s="6" t="s">
        <v>1188</v>
      </c>
      <c r="E22" s="5" t="s">
        <v>1146</v>
      </c>
    </row>
    <row r="23" ht="36.75" spans="1:5">
      <c r="A23" s="4">
        <v>22</v>
      </c>
      <c r="B23" s="7" t="s">
        <v>1182</v>
      </c>
      <c r="C23" s="6" t="s">
        <v>1189</v>
      </c>
      <c r="D23" s="8" t="s">
        <v>1190</v>
      </c>
      <c r="E23" s="5" t="s">
        <v>1146</v>
      </c>
    </row>
    <row r="24" ht="36.75" spans="1:5">
      <c r="A24" s="4">
        <v>23</v>
      </c>
      <c r="B24" s="9" t="s">
        <v>1150</v>
      </c>
      <c r="C24" s="6" t="s">
        <v>1191</v>
      </c>
      <c r="D24" s="10" t="s">
        <v>1192</v>
      </c>
      <c r="E24" s="5" t="s">
        <v>1146</v>
      </c>
    </row>
    <row r="25" ht="36.75" spans="1:5">
      <c r="A25" s="4">
        <v>24</v>
      </c>
      <c r="B25" s="9" t="s">
        <v>1193</v>
      </c>
      <c r="C25" s="6" t="s">
        <v>1194</v>
      </c>
      <c r="D25" s="10" t="s">
        <v>1195</v>
      </c>
      <c r="E25" s="5" t="s">
        <v>1146</v>
      </c>
    </row>
    <row r="26" ht="72.75" spans="1:5">
      <c r="A26" s="4">
        <v>25</v>
      </c>
      <c r="B26" s="9" t="s">
        <v>1196</v>
      </c>
      <c r="C26" s="6" t="s">
        <v>1197</v>
      </c>
      <c r="D26" s="10" t="s">
        <v>1198</v>
      </c>
      <c r="E26" s="5" t="s">
        <v>1146</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0"/>
  <sheetViews>
    <sheetView tabSelected="1" workbookViewId="0">
      <pane xSplit="2" ySplit="2" topLeftCell="C3" activePane="bottomRight" state="frozen"/>
      <selection/>
      <selection pane="topRight"/>
      <selection pane="bottomLeft"/>
      <selection pane="bottomRight" activeCell="C4" sqref="C4"/>
    </sheetView>
  </sheetViews>
  <sheetFormatPr defaultColWidth="9" defaultRowHeight="13.5" outlineLevelCol="6"/>
  <cols>
    <col min="1" max="1" width="9.63333333333333"/>
    <col min="2" max="2" width="24.8083333333333" style="119" customWidth="1"/>
    <col min="3" max="3" width="102.758333333333" customWidth="1"/>
    <col min="4" max="4" width="9" customWidth="1"/>
    <col min="5" max="5" width="9.99166666666667" customWidth="1"/>
    <col min="6" max="7" width="13.3833333333333" customWidth="1"/>
    <col min="8" max="8" width="12.675" customWidth="1"/>
    <col min="12" max="12" width="12.8833333333333"/>
  </cols>
  <sheetData>
    <row r="1" ht="42" customHeight="1" spans="1:7">
      <c r="A1" s="145" t="s">
        <v>357</v>
      </c>
      <c r="B1" s="145"/>
      <c r="C1" s="145"/>
      <c r="D1" s="145"/>
      <c r="E1" s="145"/>
      <c r="F1" s="145"/>
      <c r="G1" s="145"/>
    </row>
    <row r="2" ht="35.1" customHeight="1" spans="1:7">
      <c r="A2" s="146" t="s">
        <v>1</v>
      </c>
      <c r="B2" s="146" t="s">
        <v>2</v>
      </c>
      <c r="C2" s="146" t="s">
        <v>4</v>
      </c>
      <c r="D2" s="146" t="s">
        <v>5</v>
      </c>
      <c r="E2" s="146" t="s">
        <v>6</v>
      </c>
      <c r="F2" s="146" t="s">
        <v>358</v>
      </c>
      <c r="G2" s="146" t="s">
        <v>359</v>
      </c>
    </row>
    <row r="3" ht="40" customHeight="1" spans="1:7">
      <c r="A3" s="147">
        <v>1</v>
      </c>
      <c r="B3" s="148" t="s">
        <v>11</v>
      </c>
      <c r="C3" s="149"/>
      <c r="D3" s="149"/>
      <c r="E3" s="147"/>
      <c r="F3" s="150"/>
      <c r="G3" s="150"/>
    </row>
    <row r="4" ht="40" customHeight="1" spans="1:7">
      <c r="A4" s="151" t="s">
        <v>13</v>
      </c>
      <c r="B4" s="148" t="s">
        <v>14</v>
      </c>
      <c r="C4" s="148"/>
      <c r="D4" s="148"/>
      <c r="E4" s="147"/>
      <c r="F4" s="152"/>
      <c r="G4" s="152"/>
    </row>
    <row r="5" ht="40" customHeight="1" spans="1:7">
      <c r="A5" s="153" t="s">
        <v>15</v>
      </c>
      <c r="B5" s="154" t="s">
        <v>16</v>
      </c>
      <c r="C5" s="154" t="s">
        <v>360</v>
      </c>
      <c r="D5" s="153" t="s">
        <v>19</v>
      </c>
      <c r="E5" s="153">
        <v>4</v>
      </c>
      <c r="F5" s="155"/>
      <c r="G5" s="155"/>
    </row>
    <row r="6" ht="40" customHeight="1" spans="1:7">
      <c r="A6" s="153" t="s">
        <v>21</v>
      </c>
      <c r="B6" s="154" t="s">
        <v>22</v>
      </c>
      <c r="C6" s="154" t="s">
        <v>361</v>
      </c>
      <c r="D6" s="153" t="s">
        <v>25</v>
      </c>
      <c r="E6" s="153">
        <v>2</v>
      </c>
      <c r="F6" s="155"/>
      <c r="G6" s="155"/>
    </row>
    <row r="7" ht="40" customHeight="1" spans="1:7">
      <c r="A7" s="153" t="s">
        <v>27</v>
      </c>
      <c r="B7" s="154" t="s">
        <v>28</v>
      </c>
      <c r="C7" s="154" t="s">
        <v>360</v>
      </c>
      <c r="D7" s="153" t="s">
        <v>19</v>
      </c>
      <c r="E7" s="153">
        <v>2</v>
      </c>
      <c r="F7" s="155"/>
      <c r="G7" s="155"/>
    </row>
    <row r="8" ht="40" customHeight="1" spans="1:7">
      <c r="A8" s="153" t="s">
        <v>30</v>
      </c>
      <c r="B8" s="154" t="s">
        <v>31</v>
      </c>
      <c r="C8" s="154" t="s">
        <v>362</v>
      </c>
      <c r="D8" s="153" t="s">
        <v>25</v>
      </c>
      <c r="E8" s="153">
        <v>1</v>
      </c>
      <c r="F8" s="155"/>
      <c r="G8" s="155"/>
    </row>
    <row r="9" ht="40" customHeight="1" spans="1:7">
      <c r="A9" s="153" t="s">
        <v>33</v>
      </c>
      <c r="B9" s="154" t="s">
        <v>37</v>
      </c>
      <c r="C9" s="154" t="s">
        <v>360</v>
      </c>
      <c r="D9" s="153" t="s">
        <v>19</v>
      </c>
      <c r="E9" s="153">
        <v>2</v>
      </c>
      <c r="F9" s="155"/>
      <c r="G9" s="155"/>
    </row>
    <row r="10" ht="40" customHeight="1" spans="1:7">
      <c r="A10" s="153" t="s">
        <v>36</v>
      </c>
      <c r="B10" s="154" t="s">
        <v>39</v>
      </c>
      <c r="C10" s="154" t="s">
        <v>363</v>
      </c>
      <c r="D10" s="153" t="s">
        <v>25</v>
      </c>
      <c r="E10" s="153">
        <v>1</v>
      </c>
      <c r="F10" s="155"/>
      <c r="G10" s="155"/>
    </row>
    <row r="11" ht="40" customHeight="1" spans="1:7">
      <c r="A11" s="153" t="s">
        <v>38</v>
      </c>
      <c r="B11" s="154" t="s">
        <v>42</v>
      </c>
      <c r="C11" s="154" t="s">
        <v>360</v>
      </c>
      <c r="D11" s="153" t="s">
        <v>19</v>
      </c>
      <c r="E11" s="153">
        <v>2</v>
      </c>
      <c r="F11" s="155"/>
      <c r="G11" s="155"/>
    </row>
    <row r="12" ht="40" customHeight="1" spans="1:7">
      <c r="A12" s="153" t="s">
        <v>41</v>
      </c>
      <c r="B12" s="154" t="s">
        <v>44</v>
      </c>
      <c r="C12" s="154" t="s">
        <v>364</v>
      </c>
      <c r="D12" s="153" t="s">
        <v>25</v>
      </c>
      <c r="E12" s="153">
        <v>1</v>
      </c>
      <c r="F12" s="155"/>
      <c r="G12" s="155"/>
    </row>
    <row r="13" ht="40" customHeight="1" spans="1:7">
      <c r="A13" s="153" t="s">
        <v>43</v>
      </c>
      <c r="B13" s="154" t="s">
        <v>365</v>
      </c>
      <c r="C13" s="154" t="s">
        <v>366</v>
      </c>
      <c r="D13" s="153" t="s">
        <v>25</v>
      </c>
      <c r="E13" s="153">
        <v>1</v>
      </c>
      <c r="F13" s="155"/>
      <c r="G13" s="155"/>
    </row>
    <row r="14" ht="40" customHeight="1" spans="1:7">
      <c r="A14" s="153" t="s">
        <v>46</v>
      </c>
      <c r="B14" s="154" t="s">
        <v>47</v>
      </c>
      <c r="C14" s="154" t="s">
        <v>367</v>
      </c>
      <c r="D14" s="153" t="s">
        <v>25</v>
      </c>
      <c r="E14" s="153">
        <v>1</v>
      </c>
      <c r="F14" s="156"/>
      <c r="G14" s="156"/>
    </row>
    <row r="15" ht="40" customHeight="1" spans="1:7">
      <c r="A15" s="157" t="s">
        <v>49</v>
      </c>
      <c r="B15" s="154" t="s">
        <v>368</v>
      </c>
      <c r="C15" s="154" t="s">
        <v>369</v>
      </c>
      <c r="D15" s="158" t="s">
        <v>169</v>
      </c>
      <c r="E15" s="158">
        <v>10</v>
      </c>
      <c r="F15" s="159"/>
      <c r="G15" s="159"/>
    </row>
    <row r="16" ht="40" customHeight="1" spans="1:7">
      <c r="A16" s="157" t="s">
        <v>52</v>
      </c>
      <c r="B16" s="154" t="s">
        <v>50</v>
      </c>
      <c r="C16" s="154" t="s">
        <v>360</v>
      </c>
      <c r="D16" s="153" t="s">
        <v>25</v>
      </c>
      <c r="E16" s="153">
        <v>1</v>
      </c>
      <c r="F16" s="156"/>
      <c r="G16" s="156"/>
    </row>
    <row r="17" ht="40" customHeight="1" spans="1:7">
      <c r="A17" s="157" t="s">
        <v>54</v>
      </c>
      <c r="B17" s="154" t="s">
        <v>53</v>
      </c>
      <c r="C17" s="154" t="s">
        <v>360</v>
      </c>
      <c r="D17" s="153" t="s">
        <v>25</v>
      </c>
      <c r="E17" s="153">
        <v>1</v>
      </c>
      <c r="F17" s="156"/>
      <c r="G17" s="156"/>
    </row>
    <row r="18" ht="61" customHeight="1" spans="1:7">
      <c r="A18" s="157" t="s">
        <v>370</v>
      </c>
      <c r="B18" s="154" t="s">
        <v>55</v>
      </c>
      <c r="C18" s="154" t="s">
        <v>371</v>
      </c>
      <c r="D18" s="153" t="s">
        <v>25</v>
      </c>
      <c r="E18" s="158">
        <v>1</v>
      </c>
      <c r="F18" s="156"/>
      <c r="G18" s="156"/>
    </row>
    <row r="19" ht="40" customHeight="1" spans="1:7">
      <c r="A19" s="157" t="s">
        <v>57</v>
      </c>
      <c r="B19" s="154" t="s">
        <v>58</v>
      </c>
      <c r="C19" s="154" t="s">
        <v>360</v>
      </c>
      <c r="D19" s="153" t="s">
        <v>25</v>
      </c>
      <c r="E19" s="158">
        <v>1</v>
      </c>
      <c r="F19" s="155"/>
      <c r="G19" s="155"/>
    </row>
    <row r="20" ht="40" customHeight="1" spans="1:7">
      <c r="A20" s="157" t="s">
        <v>60</v>
      </c>
      <c r="B20" s="154" t="s">
        <v>61</v>
      </c>
      <c r="C20" s="154" t="s">
        <v>63</v>
      </c>
      <c r="D20" s="153" t="s">
        <v>25</v>
      </c>
      <c r="E20" s="158">
        <v>4</v>
      </c>
      <c r="F20" s="150"/>
      <c r="G20" s="150"/>
    </row>
    <row r="21" ht="40" customHeight="1" spans="1:7">
      <c r="A21" s="157" t="s">
        <v>64</v>
      </c>
      <c r="B21" s="154" t="s">
        <v>65</v>
      </c>
      <c r="C21" s="154" t="s">
        <v>66</v>
      </c>
      <c r="D21" s="153" t="s">
        <v>25</v>
      </c>
      <c r="E21" s="158">
        <v>2</v>
      </c>
      <c r="F21" s="150"/>
      <c r="G21" s="150"/>
    </row>
    <row r="22" ht="29.1" customHeight="1" spans="1:7">
      <c r="A22" s="151" t="s">
        <v>67</v>
      </c>
      <c r="B22" s="148" t="s">
        <v>68</v>
      </c>
      <c r="C22" s="149"/>
      <c r="D22" s="160"/>
      <c r="E22" s="147"/>
      <c r="F22" s="152"/>
      <c r="G22" s="152"/>
    </row>
    <row r="23" ht="69.95" customHeight="1" spans="1:7">
      <c r="A23" s="157" t="s">
        <v>69</v>
      </c>
      <c r="B23" s="154" t="s">
        <v>70</v>
      </c>
      <c r="C23" s="154" t="s">
        <v>72</v>
      </c>
      <c r="D23" s="153" t="s">
        <v>25</v>
      </c>
      <c r="E23" s="153">
        <v>2</v>
      </c>
      <c r="F23" s="161"/>
      <c r="G23" s="161"/>
    </row>
    <row r="24" ht="84" customHeight="1" spans="1:7">
      <c r="A24" s="157" t="s">
        <v>74</v>
      </c>
      <c r="B24" s="154" t="s">
        <v>75</v>
      </c>
      <c r="C24" s="154" t="s">
        <v>76</v>
      </c>
      <c r="D24" s="153" t="s">
        <v>25</v>
      </c>
      <c r="E24" s="153">
        <v>1</v>
      </c>
      <c r="F24" s="161"/>
      <c r="G24" s="161"/>
    </row>
    <row r="25" ht="84" customHeight="1" spans="1:7">
      <c r="A25" s="157" t="s">
        <v>79</v>
      </c>
      <c r="B25" s="154" t="s">
        <v>80</v>
      </c>
      <c r="C25" s="154" t="s">
        <v>81</v>
      </c>
      <c r="D25" s="153" t="s">
        <v>25</v>
      </c>
      <c r="E25" s="153">
        <v>2</v>
      </c>
      <c r="F25" s="161"/>
      <c r="G25" s="161"/>
    </row>
    <row r="26" ht="40" customHeight="1" spans="1:7">
      <c r="A26" s="151" t="s">
        <v>83</v>
      </c>
      <c r="B26" s="148" t="s">
        <v>84</v>
      </c>
      <c r="C26" s="149"/>
      <c r="D26" s="149"/>
      <c r="E26" s="147"/>
      <c r="F26" s="152"/>
      <c r="G26" s="152"/>
    </row>
    <row r="27" ht="40" customHeight="1" spans="1:7">
      <c r="A27" s="157" t="s">
        <v>85</v>
      </c>
      <c r="B27" s="154" t="s">
        <v>372</v>
      </c>
      <c r="C27" s="154" t="s">
        <v>373</v>
      </c>
      <c r="D27" s="153" t="s">
        <v>25</v>
      </c>
      <c r="E27" s="158">
        <v>3</v>
      </c>
      <c r="F27" s="150"/>
      <c r="G27" s="150"/>
    </row>
    <row r="28" ht="40" customHeight="1" spans="1:7">
      <c r="A28" s="157" t="s">
        <v>91</v>
      </c>
      <c r="B28" s="154" t="s">
        <v>92</v>
      </c>
      <c r="C28" s="154" t="s">
        <v>374</v>
      </c>
      <c r="D28" s="153" t="s">
        <v>25</v>
      </c>
      <c r="E28" s="158">
        <v>1</v>
      </c>
      <c r="F28" s="156"/>
      <c r="G28" s="156"/>
    </row>
    <row r="29" ht="40" customHeight="1" spans="1:7">
      <c r="A29" s="157" t="s">
        <v>95</v>
      </c>
      <c r="B29" s="154" t="s">
        <v>96</v>
      </c>
      <c r="C29" s="154" t="s">
        <v>375</v>
      </c>
      <c r="D29" s="153" t="s">
        <v>25</v>
      </c>
      <c r="E29" s="158">
        <v>1</v>
      </c>
      <c r="F29" s="156"/>
      <c r="G29" s="156"/>
    </row>
    <row r="30" ht="40" customHeight="1" spans="1:7">
      <c r="A30" s="157" t="s">
        <v>99</v>
      </c>
      <c r="B30" s="154" t="s">
        <v>100</v>
      </c>
      <c r="C30" s="154" t="s">
        <v>376</v>
      </c>
      <c r="D30" s="153" t="s">
        <v>25</v>
      </c>
      <c r="E30" s="158">
        <v>1</v>
      </c>
      <c r="F30" s="156"/>
      <c r="G30" s="156"/>
    </row>
    <row r="31" ht="40" customHeight="1" spans="1:7">
      <c r="A31" s="157" t="s">
        <v>103</v>
      </c>
      <c r="B31" s="154" t="s">
        <v>104</v>
      </c>
      <c r="C31" s="154" t="s">
        <v>377</v>
      </c>
      <c r="D31" s="153" t="s">
        <v>25</v>
      </c>
      <c r="E31" s="158">
        <v>1</v>
      </c>
      <c r="F31" s="156"/>
      <c r="G31" s="156"/>
    </row>
    <row r="32" ht="40" customHeight="1" spans="1:7">
      <c r="A32" s="157" t="s">
        <v>107</v>
      </c>
      <c r="B32" s="154" t="s">
        <v>108</v>
      </c>
      <c r="C32" s="154" t="s">
        <v>378</v>
      </c>
      <c r="D32" s="153" t="s">
        <v>25</v>
      </c>
      <c r="E32" s="158">
        <v>1</v>
      </c>
      <c r="F32" s="156"/>
      <c r="G32" s="156"/>
    </row>
    <row r="33" ht="40" customHeight="1" spans="1:7">
      <c r="A33" s="157" t="s">
        <v>111</v>
      </c>
      <c r="B33" s="154" t="s">
        <v>112</v>
      </c>
      <c r="C33" s="154" t="s">
        <v>113</v>
      </c>
      <c r="D33" s="153" t="s">
        <v>25</v>
      </c>
      <c r="E33" s="158">
        <v>2</v>
      </c>
      <c r="F33" s="150"/>
      <c r="G33" s="150"/>
    </row>
    <row r="34" ht="29.1" customHeight="1" spans="1:7">
      <c r="A34" s="151" t="s">
        <v>115</v>
      </c>
      <c r="B34" s="148" t="s">
        <v>379</v>
      </c>
      <c r="C34" s="149"/>
      <c r="D34" s="149"/>
      <c r="E34" s="147"/>
      <c r="F34" s="152"/>
      <c r="G34" s="152"/>
    </row>
    <row r="35" ht="40" customHeight="1" spans="1:7">
      <c r="A35" s="157" t="s">
        <v>117</v>
      </c>
      <c r="B35" s="154" t="s">
        <v>118</v>
      </c>
      <c r="C35" s="154" t="s">
        <v>380</v>
      </c>
      <c r="D35" s="153" t="s">
        <v>19</v>
      </c>
      <c r="E35" s="153">
        <v>1</v>
      </c>
      <c r="F35" s="156"/>
      <c r="G35" s="156"/>
    </row>
    <row r="36" ht="40" customHeight="1" spans="1:7">
      <c r="A36" s="157" t="s">
        <v>122</v>
      </c>
      <c r="B36" s="154" t="s">
        <v>127</v>
      </c>
      <c r="C36" s="154" t="s">
        <v>381</v>
      </c>
      <c r="D36" s="153" t="s">
        <v>19</v>
      </c>
      <c r="E36" s="153">
        <v>1</v>
      </c>
      <c r="F36" s="156"/>
      <c r="G36" s="156"/>
    </row>
    <row r="37" ht="40" customHeight="1" spans="1:7">
      <c r="A37" s="157" t="s">
        <v>126</v>
      </c>
      <c r="B37" s="154" t="s">
        <v>382</v>
      </c>
      <c r="C37" s="154" t="s">
        <v>383</v>
      </c>
      <c r="D37" s="153" t="s">
        <v>19</v>
      </c>
      <c r="E37" s="153">
        <v>1</v>
      </c>
      <c r="F37" s="156"/>
      <c r="G37" s="156"/>
    </row>
    <row r="38" ht="40" customHeight="1" spans="1:7">
      <c r="A38" s="157" t="s">
        <v>130</v>
      </c>
      <c r="B38" s="154" t="s">
        <v>135</v>
      </c>
      <c r="C38" s="154" t="s">
        <v>384</v>
      </c>
      <c r="D38" s="153" t="s">
        <v>19</v>
      </c>
      <c r="E38" s="153">
        <v>1</v>
      </c>
      <c r="F38" s="156"/>
      <c r="G38" s="156"/>
    </row>
    <row r="39" ht="40" customHeight="1" spans="1:7">
      <c r="A39" s="157" t="s">
        <v>134</v>
      </c>
      <c r="B39" s="154" t="s">
        <v>139</v>
      </c>
      <c r="C39" s="154" t="s">
        <v>385</v>
      </c>
      <c r="D39" s="153" t="s">
        <v>19</v>
      </c>
      <c r="E39" s="153">
        <v>1</v>
      </c>
      <c r="F39" s="156"/>
      <c r="G39" s="156"/>
    </row>
    <row r="40" ht="40" customHeight="1" spans="1:7">
      <c r="A40" s="157" t="s">
        <v>138</v>
      </c>
      <c r="B40" s="154" t="s">
        <v>143</v>
      </c>
      <c r="C40" s="154" t="s">
        <v>386</v>
      </c>
      <c r="D40" s="153" t="s">
        <v>19</v>
      </c>
      <c r="E40" s="153">
        <v>1</v>
      </c>
      <c r="F40" s="156"/>
      <c r="G40" s="156"/>
    </row>
    <row r="41" ht="40" customHeight="1" spans="1:7">
      <c r="A41" s="157" t="s">
        <v>142</v>
      </c>
      <c r="B41" s="154" t="s">
        <v>123</v>
      </c>
      <c r="C41" s="154" t="s">
        <v>387</v>
      </c>
      <c r="D41" s="153" t="s">
        <v>19</v>
      </c>
      <c r="E41" s="153">
        <v>1</v>
      </c>
      <c r="F41" s="156"/>
      <c r="G41" s="156"/>
    </row>
    <row r="42" ht="40" customHeight="1" spans="1:7">
      <c r="A42" s="157" t="s">
        <v>146</v>
      </c>
      <c r="B42" s="154" t="s">
        <v>388</v>
      </c>
      <c r="C42" s="154" t="s">
        <v>389</v>
      </c>
      <c r="D42" s="153" t="s">
        <v>19</v>
      </c>
      <c r="E42" s="153">
        <v>1</v>
      </c>
      <c r="F42" s="156"/>
      <c r="G42" s="156"/>
    </row>
    <row r="43" ht="40" customHeight="1" spans="1:7">
      <c r="A43" s="147">
        <v>2</v>
      </c>
      <c r="B43" s="148" t="s">
        <v>150</v>
      </c>
      <c r="C43" s="162"/>
      <c r="D43" s="149"/>
      <c r="E43" s="147"/>
      <c r="F43" s="150"/>
      <c r="G43" s="150"/>
    </row>
    <row r="44" ht="40" customHeight="1" spans="1:7">
      <c r="A44" s="151" t="s">
        <v>152</v>
      </c>
      <c r="B44" s="163" t="s">
        <v>153</v>
      </c>
      <c r="C44" s="151"/>
      <c r="D44" s="151"/>
      <c r="E44" s="151"/>
      <c r="F44" s="164"/>
      <c r="G44" s="164"/>
    </row>
    <row r="45" ht="40" customHeight="1" spans="1:7">
      <c r="A45" s="157" t="s">
        <v>154</v>
      </c>
      <c r="B45" s="165" t="s">
        <v>390</v>
      </c>
      <c r="C45" s="154" t="s">
        <v>391</v>
      </c>
      <c r="D45" s="153" t="s">
        <v>25</v>
      </c>
      <c r="E45" s="166">
        <v>48</v>
      </c>
      <c r="F45" s="167"/>
      <c r="G45" s="167"/>
    </row>
    <row r="46" ht="40" customHeight="1" spans="1:7">
      <c r="A46" s="157" t="s">
        <v>158</v>
      </c>
      <c r="B46" s="165" t="s">
        <v>392</v>
      </c>
      <c r="C46" s="154" t="s">
        <v>393</v>
      </c>
      <c r="D46" s="153" t="s">
        <v>25</v>
      </c>
      <c r="E46" s="168"/>
      <c r="F46" s="167"/>
      <c r="G46" s="167"/>
    </row>
    <row r="47" ht="40" customHeight="1" spans="1:7">
      <c r="A47" s="157" t="s">
        <v>160</v>
      </c>
      <c r="B47" s="165" t="s">
        <v>394</v>
      </c>
      <c r="C47" s="154" t="s">
        <v>395</v>
      </c>
      <c r="D47" s="153" t="s">
        <v>25</v>
      </c>
      <c r="E47" s="158">
        <v>3</v>
      </c>
      <c r="F47" s="167"/>
      <c r="G47" s="167"/>
    </row>
    <row r="48" ht="40" customHeight="1" spans="1:7">
      <c r="A48" s="157" t="s">
        <v>164</v>
      </c>
      <c r="B48" s="165" t="s">
        <v>396</v>
      </c>
      <c r="C48" s="154" t="s">
        <v>397</v>
      </c>
      <c r="D48" s="153" t="s">
        <v>25</v>
      </c>
      <c r="E48" s="158">
        <v>1</v>
      </c>
      <c r="F48" s="169"/>
      <c r="G48" s="169"/>
    </row>
    <row r="49" ht="40" customHeight="1" spans="1:7">
      <c r="A49" s="157" t="s">
        <v>167</v>
      </c>
      <c r="B49" s="165" t="s">
        <v>165</v>
      </c>
      <c r="C49" s="154" t="s">
        <v>398</v>
      </c>
      <c r="D49" s="153" t="s">
        <v>25</v>
      </c>
      <c r="E49" s="158">
        <v>1</v>
      </c>
      <c r="F49" s="167"/>
      <c r="G49" s="167"/>
    </row>
    <row r="50" ht="40" customHeight="1" spans="1:7">
      <c r="A50" s="157" t="s">
        <v>399</v>
      </c>
      <c r="B50" s="165" t="s">
        <v>400</v>
      </c>
      <c r="C50" s="154" t="s">
        <v>401</v>
      </c>
      <c r="D50" s="153" t="s">
        <v>169</v>
      </c>
      <c r="E50" s="158">
        <v>72</v>
      </c>
      <c r="F50" s="167"/>
      <c r="G50" s="167"/>
    </row>
    <row r="51" ht="40" customHeight="1" spans="1:7">
      <c r="A51" s="151" t="s">
        <v>171</v>
      </c>
      <c r="B51" s="163" t="s">
        <v>172</v>
      </c>
      <c r="C51" s="151"/>
      <c r="D51" s="151"/>
      <c r="E51" s="151"/>
      <c r="F51" s="164"/>
      <c r="G51" s="164"/>
    </row>
    <row r="52" ht="40" customHeight="1" spans="1:7">
      <c r="A52" s="157" t="s">
        <v>173</v>
      </c>
      <c r="B52" s="154" t="s">
        <v>174</v>
      </c>
      <c r="C52" s="154" t="s">
        <v>402</v>
      </c>
      <c r="D52" s="158" t="s">
        <v>25</v>
      </c>
      <c r="E52" s="158">
        <f>25-9</f>
        <v>16</v>
      </c>
      <c r="F52" s="170"/>
      <c r="G52" s="170"/>
    </row>
    <row r="53" ht="40" customHeight="1" spans="1:7">
      <c r="A53" s="157" t="s">
        <v>177</v>
      </c>
      <c r="B53" s="154" t="s">
        <v>178</v>
      </c>
      <c r="C53" s="154" t="s">
        <v>180</v>
      </c>
      <c r="D53" s="158" t="s">
        <v>25</v>
      </c>
      <c r="E53" s="158">
        <v>9</v>
      </c>
      <c r="F53" s="170"/>
      <c r="G53" s="170"/>
    </row>
    <row r="54" ht="40" customHeight="1" spans="1:7">
      <c r="A54" s="151" t="s">
        <v>182</v>
      </c>
      <c r="B54" s="163" t="s">
        <v>183</v>
      </c>
      <c r="C54" s="151"/>
      <c r="D54" s="151"/>
      <c r="E54" s="151"/>
      <c r="F54" s="164"/>
      <c r="G54" s="164"/>
    </row>
    <row r="55" ht="40" customHeight="1" spans="1:7">
      <c r="A55" s="157" t="s">
        <v>184</v>
      </c>
      <c r="B55" s="154" t="s">
        <v>185</v>
      </c>
      <c r="C55" s="154" t="s">
        <v>186</v>
      </c>
      <c r="D55" s="158" t="s">
        <v>25</v>
      </c>
      <c r="E55" s="158">
        <v>116</v>
      </c>
      <c r="F55" s="171"/>
      <c r="G55" s="171"/>
    </row>
    <row r="56" ht="40" customHeight="1" spans="1:7">
      <c r="A56" s="157" t="s">
        <v>188</v>
      </c>
      <c r="B56" s="154" t="s">
        <v>189</v>
      </c>
      <c r="C56" s="154" t="s">
        <v>190</v>
      </c>
      <c r="D56" s="158" t="s">
        <v>25</v>
      </c>
      <c r="E56" s="158">
        <v>62</v>
      </c>
      <c r="F56" s="171"/>
      <c r="G56" s="171"/>
    </row>
    <row r="57" ht="40" customHeight="1" spans="1:7">
      <c r="A57" s="157" t="s">
        <v>192</v>
      </c>
      <c r="B57" s="154" t="s">
        <v>193</v>
      </c>
      <c r="C57" s="154" t="s">
        <v>194</v>
      </c>
      <c r="D57" s="158" t="s">
        <v>195</v>
      </c>
      <c r="E57" s="158">
        <v>79</v>
      </c>
      <c r="F57" s="172"/>
      <c r="G57" s="172"/>
    </row>
    <row r="58" ht="40" customHeight="1" spans="1:7">
      <c r="A58" s="160">
        <v>3</v>
      </c>
      <c r="B58" s="173" t="s">
        <v>197</v>
      </c>
      <c r="C58" s="173"/>
      <c r="D58" s="173"/>
      <c r="E58" s="173"/>
      <c r="F58" s="174"/>
      <c r="G58" s="174"/>
    </row>
    <row r="59" ht="40" customHeight="1" spans="1:7">
      <c r="A59" s="151" t="s">
        <v>199</v>
      </c>
      <c r="B59" s="173" t="s">
        <v>200</v>
      </c>
      <c r="C59" s="173"/>
      <c r="D59" s="173"/>
      <c r="E59" s="173"/>
      <c r="F59" s="174"/>
      <c r="G59" s="174"/>
    </row>
    <row r="60" ht="40" customHeight="1" spans="1:7">
      <c r="A60" s="157" t="s">
        <v>201</v>
      </c>
      <c r="B60" s="154" t="s">
        <v>202</v>
      </c>
      <c r="C60" s="154" t="s">
        <v>403</v>
      </c>
      <c r="D60" s="158" t="s">
        <v>25</v>
      </c>
      <c r="E60" s="153">
        <v>18</v>
      </c>
      <c r="F60" s="169"/>
      <c r="G60" s="169"/>
    </row>
    <row r="61" ht="40" customHeight="1" spans="1:7">
      <c r="A61" s="157" t="s">
        <v>206</v>
      </c>
      <c r="B61" s="154" t="s">
        <v>207</v>
      </c>
      <c r="C61" s="154" t="s">
        <v>404</v>
      </c>
      <c r="D61" s="158" t="s">
        <v>25</v>
      </c>
      <c r="E61" s="153">
        <v>84</v>
      </c>
      <c r="F61" s="169"/>
      <c r="G61" s="169"/>
    </row>
    <row r="62" ht="40" customHeight="1" spans="1:7">
      <c r="A62" s="151" t="s">
        <v>209</v>
      </c>
      <c r="B62" s="173" t="s">
        <v>405</v>
      </c>
      <c r="C62" s="173"/>
      <c r="D62" s="173"/>
      <c r="E62" s="173"/>
      <c r="F62" s="174"/>
      <c r="G62" s="174"/>
    </row>
    <row r="63" ht="40" customHeight="1" spans="1:7">
      <c r="A63" s="157" t="s">
        <v>211</v>
      </c>
      <c r="B63" s="154" t="s">
        <v>406</v>
      </c>
      <c r="C63" s="154" t="s">
        <v>407</v>
      </c>
      <c r="D63" s="158" t="s">
        <v>25</v>
      </c>
      <c r="E63" s="153">
        <v>14</v>
      </c>
      <c r="F63" s="169"/>
      <c r="G63" s="169"/>
    </row>
    <row r="64" ht="40" customHeight="1" spans="1:7">
      <c r="A64" s="157" t="s">
        <v>215</v>
      </c>
      <c r="B64" s="154" t="s">
        <v>408</v>
      </c>
      <c r="C64" s="154" t="s">
        <v>409</v>
      </c>
      <c r="D64" s="158" t="s">
        <v>25</v>
      </c>
      <c r="E64" s="153">
        <v>8</v>
      </c>
      <c r="F64" s="169"/>
      <c r="G64" s="169"/>
    </row>
    <row r="65" ht="40" customHeight="1" spans="1:7">
      <c r="A65" s="157" t="s">
        <v>219</v>
      </c>
      <c r="B65" s="154" t="s">
        <v>410</v>
      </c>
      <c r="C65" s="154" t="s">
        <v>411</v>
      </c>
      <c r="D65" s="158" t="s">
        <v>25</v>
      </c>
      <c r="E65" s="153">
        <v>80</v>
      </c>
      <c r="F65" s="169"/>
      <c r="G65" s="169"/>
    </row>
    <row r="66" ht="40" customHeight="1" spans="1:7">
      <c r="A66" s="147">
        <v>4</v>
      </c>
      <c r="B66" s="148" t="s">
        <v>222</v>
      </c>
      <c r="C66" s="148"/>
      <c r="D66" s="147"/>
      <c r="E66" s="147"/>
      <c r="F66" s="175"/>
      <c r="G66" s="175"/>
    </row>
    <row r="67" ht="40" customHeight="1" spans="1:7">
      <c r="A67" s="151" t="s">
        <v>224</v>
      </c>
      <c r="B67" s="148" t="s">
        <v>225</v>
      </c>
      <c r="C67" s="148"/>
      <c r="D67" s="147"/>
      <c r="E67" s="147"/>
      <c r="F67" s="175"/>
      <c r="G67" s="175"/>
    </row>
    <row r="68" ht="40" customHeight="1" spans="1:7">
      <c r="A68" s="157" t="s">
        <v>226</v>
      </c>
      <c r="B68" s="176" t="s">
        <v>412</v>
      </c>
      <c r="C68" s="154" t="s">
        <v>413</v>
      </c>
      <c r="D68" s="158" t="s">
        <v>25</v>
      </c>
      <c r="E68" s="158">
        <v>4000</v>
      </c>
      <c r="F68" s="177"/>
      <c r="G68" s="177"/>
    </row>
    <row r="69" ht="40" customHeight="1" spans="1:7">
      <c r="A69" s="157" t="s">
        <v>230</v>
      </c>
      <c r="B69" s="176" t="s">
        <v>414</v>
      </c>
      <c r="C69" s="154" t="s">
        <v>415</v>
      </c>
      <c r="D69" s="158" t="s">
        <v>25</v>
      </c>
      <c r="E69" s="158">
        <v>38</v>
      </c>
      <c r="F69" s="177"/>
      <c r="G69" s="177"/>
    </row>
    <row r="70" ht="40" customHeight="1" spans="1:7">
      <c r="A70" s="157" t="s">
        <v>234</v>
      </c>
      <c r="B70" s="176" t="s">
        <v>416</v>
      </c>
      <c r="C70" s="154" t="s">
        <v>417</v>
      </c>
      <c r="D70" s="158" t="s">
        <v>25</v>
      </c>
      <c r="E70" s="158">
        <v>45</v>
      </c>
      <c r="F70" s="177"/>
      <c r="G70" s="177"/>
    </row>
    <row r="71" ht="40" customHeight="1" spans="1:7">
      <c r="A71" s="157" t="s">
        <v>238</v>
      </c>
      <c r="B71" s="176" t="s">
        <v>239</v>
      </c>
      <c r="C71" s="154" t="s">
        <v>418</v>
      </c>
      <c r="D71" s="158" t="s">
        <v>25</v>
      </c>
      <c r="E71" s="158">
        <v>2000</v>
      </c>
      <c r="F71" s="177"/>
      <c r="G71" s="177"/>
    </row>
    <row r="72" ht="40" customHeight="1" spans="1:7">
      <c r="A72" s="157" t="s">
        <v>242</v>
      </c>
      <c r="B72" s="176" t="s">
        <v>243</v>
      </c>
      <c r="C72" s="154" t="s">
        <v>418</v>
      </c>
      <c r="D72" s="158" t="s">
        <v>25</v>
      </c>
      <c r="E72" s="158">
        <v>100</v>
      </c>
      <c r="F72" s="177"/>
      <c r="G72" s="177"/>
    </row>
    <row r="73" ht="40" customHeight="1" spans="1:7">
      <c r="A73" s="157" t="s">
        <v>245</v>
      </c>
      <c r="B73" s="176" t="s">
        <v>246</v>
      </c>
      <c r="C73" s="154" t="s">
        <v>247</v>
      </c>
      <c r="D73" s="158" t="s">
        <v>248</v>
      </c>
      <c r="E73" s="158">
        <f>E69</f>
        <v>38</v>
      </c>
      <c r="F73" s="177"/>
      <c r="G73" s="177"/>
    </row>
    <row r="74" ht="40" customHeight="1" spans="1:7">
      <c r="A74" s="157" t="s">
        <v>249</v>
      </c>
      <c r="B74" s="176" t="s">
        <v>250</v>
      </c>
      <c r="C74" s="154" t="s">
        <v>251</v>
      </c>
      <c r="D74" s="158" t="s">
        <v>252</v>
      </c>
      <c r="E74" s="158">
        <f>E70+E68+E69</f>
        <v>4083</v>
      </c>
      <c r="F74" s="177"/>
      <c r="G74" s="177"/>
    </row>
    <row r="75" ht="40" customHeight="1" spans="1:7">
      <c r="A75" s="151" t="s">
        <v>254</v>
      </c>
      <c r="B75" s="148" t="s">
        <v>255</v>
      </c>
      <c r="C75" s="148"/>
      <c r="D75" s="147"/>
      <c r="E75" s="147"/>
      <c r="F75" s="175"/>
      <c r="G75" s="175"/>
    </row>
    <row r="76" ht="40" customHeight="1" spans="1:7">
      <c r="A76" s="157" t="s">
        <v>256</v>
      </c>
      <c r="B76" s="176" t="s">
        <v>257</v>
      </c>
      <c r="C76" s="154" t="s">
        <v>419</v>
      </c>
      <c r="D76" s="158" t="s">
        <v>25</v>
      </c>
      <c r="E76" s="158">
        <v>5</v>
      </c>
      <c r="F76" s="178"/>
      <c r="G76" s="178"/>
    </row>
    <row r="77" ht="40" customHeight="1" spans="1:7">
      <c r="A77" s="151" t="s">
        <v>260</v>
      </c>
      <c r="B77" s="173" t="s">
        <v>261</v>
      </c>
      <c r="C77" s="173"/>
      <c r="D77" s="160"/>
      <c r="E77" s="160"/>
      <c r="F77" s="152"/>
      <c r="G77" s="152"/>
    </row>
    <row r="78" ht="40" customHeight="1" spans="1:7">
      <c r="A78" s="157" t="s">
        <v>262</v>
      </c>
      <c r="B78" s="154" t="s">
        <v>263</v>
      </c>
      <c r="C78" s="154" t="s">
        <v>420</v>
      </c>
      <c r="D78" s="158" t="s">
        <v>25</v>
      </c>
      <c r="E78" s="158">
        <v>5</v>
      </c>
      <c r="F78" s="179"/>
      <c r="G78" s="179"/>
    </row>
    <row r="79" ht="40" customHeight="1" spans="1:7">
      <c r="A79" s="157" t="s">
        <v>267</v>
      </c>
      <c r="B79" s="154" t="s">
        <v>268</v>
      </c>
      <c r="C79" s="154" t="s">
        <v>269</v>
      </c>
      <c r="D79" s="158" t="s">
        <v>25</v>
      </c>
      <c r="E79" s="158">
        <v>1</v>
      </c>
      <c r="F79" s="180"/>
      <c r="G79" s="180"/>
    </row>
    <row r="80" ht="171" customHeight="1" spans="1:7">
      <c r="A80" s="157" t="s">
        <v>272</v>
      </c>
      <c r="B80" s="154" t="s">
        <v>273</v>
      </c>
      <c r="C80" s="154" t="s">
        <v>274</v>
      </c>
      <c r="D80" s="158" t="s">
        <v>25</v>
      </c>
      <c r="E80" s="158">
        <v>1</v>
      </c>
      <c r="F80" s="159"/>
      <c r="G80" s="159"/>
    </row>
    <row r="81" ht="40" customHeight="1" spans="1:7">
      <c r="A81" s="147">
        <v>5</v>
      </c>
      <c r="B81" s="148" t="s">
        <v>281</v>
      </c>
      <c r="C81" s="148"/>
      <c r="D81" s="147"/>
      <c r="E81" s="147"/>
      <c r="F81" s="175"/>
      <c r="G81" s="175"/>
    </row>
    <row r="82" ht="40" customHeight="1" spans="1:7">
      <c r="A82" s="151" t="s">
        <v>283</v>
      </c>
      <c r="B82" s="148" t="s">
        <v>284</v>
      </c>
      <c r="C82" s="148"/>
      <c r="D82" s="147"/>
      <c r="E82" s="147"/>
      <c r="F82" s="175"/>
      <c r="G82" s="175"/>
    </row>
    <row r="83" ht="40" customHeight="1" spans="1:7">
      <c r="A83" s="157" t="s">
        <v>285</v>
      </c>
      <c r="B83" s="176" t="s">
        <v>286</v>
      </c>
      <c r="C83" s="154" t="s">
        <v>421</v>
      </c>
      <c r="D83" s="158" t="s">
        <v>289</v>
      </c>
      <c r="E83" s="158">
        <v>9</v>
      </c>
      <c r="F83" s="178"/>
      <c r="G83" s="178"/>
    </row>
    <row r="84" ht="40" customHeight="1" spans="1:7">
      <c r="A84" s="157" t="s">
        <v>291</v>
      </c>
      <c r="B84" s="154" t="s">
        <v>292</v>
      </c>
      <c r="C84" s="154" t="s">
        <v>422</v>
      </c>
      <c r="D84" s="158" t="s">
        <v>289</v>
      </c>
      <c r="E84" s="158">
        <v>43</v>
      </c>
      <c r="F84" s="156"/>
      <c r="G84" s="156"/>
    </row>
    <row r="85" ht="40" customHeight="1" spans="1:7">
      <c r="A85" s="151" t="s">
        <v>295</v>
      </c>
      <c r="B85" s="148" t="s">
        <v>296</v>
      </c>
      <c r="C85" s="148"/>
      <c r="D85" s="147"/>
      <c r="E85" s="147"/>
      <c r="F85" s="175"/>
      <c r="G85" s="175"/>
    </row>
    <row r="86" ht="40" customHeight="1" spans="1:7">
      <c r="A86" s="157" t="s">
        <v>297</v>
      </c>
      <c r="B86" s="154" t="s">
        <v>298</v>
      </c>
      <c r="C86" s="154" t="s">
        <v>423</v>
      </c>
      <c r="D86" s="158" t="s">
        <v>301</v>
      </c>
      <c r="E86" s="158">
        <f>27+52*2</f>
        <v>131</v>
      </c>
      <c r="F86" s="156"/>
      <c r="G86" s="156"/>
    </row>
    <row r="87" ht="40" customHeight="1" spans="1:7">
      <c r="A87" s="157" t="s">
        <v>303</v>
      </c>
      <c r="B87" s="154" t="s">
        <v>298</v>
      </c>
      <c r="C87" s="154" t="s">
        <v>424</v>
      </c>
      <c r="D87" s="158" t="s">
        <v>305</v>
      </c>
      <c r="E87" s="158">
        <v>2</v>
      </c>
      <c r="F87" s="178"/>
      <c r="G87" s="178"/>
    </row>
    <row r="88" ht="40" customHeight="1" spans="1:7">
      <c r="A88" s="151" t="s">
        <v>306</v>
      </c>
      <c r="B88" s="148" t="s">
        <v>425</v>
      </c>
      <c r="C88" s="148"/>
      <c r="D88" s="147"/>
      <c r="E88" s="147"/>
      <c r="F88" s="175"/>
      <c r="G88" s="175"/>
    </row>
    <row r="89" ht="40" customHeight="1" spans="1:7">
      <c r="A89" s="157" t="s">
        <v>308</v>
      </c>
      <c r="B89" s="176" t="s">
        <v>426</v>
      </c>
      <c r="C89" s="154" t="s">
        <v>427</v>
      </c>
      <c r="D89" s="158" t="s">
        <v>311</v>
      </c>
      <c r="E89" s="158">
        <v>4</v>
      </c>
      <c r="F89" s="177"/>
      <c r="G89" s="177"/>
    </row>
    <row r="90" ht="40" customHeight="1" spans="1:7">
      <c r="A90" s="157" t="s">
        <v>313</v>
      </c>
      <c r="B90" s="176" t="s">
        <v>314</v>
      </c>
      <c r="C90" s="154" t="s">
        <v>428</v>
      </c>
      <c r="D90" s="158" t="s">
        <v>316</v>
      </c>
      <c r="E90" s="158">
        <v>3</v>
      </c>
      <c r="F90" s="177"/>
      <c r="G90" s="177"/>
    </row>
    <row r="91" ht="42" customHeight="1" spans="1:7">
      <c r="A91" s="181" t="s">
        <v>429</v>
      </c>
      <c r="B91" s="181"/>
      <c r="C91" s="181"/>
      <c r="D91" s="181"/>
      <c r="E91" s="181"/>
      <c r="F91" s="167"/>
      <c r="G91" s="167"/>
    </row>
    <row r="92" ht="42" customHeight="1"/>
    <row r="93" ht="23.1" customHeight="1"/>
    <row r="94" ht="20.1" customHeight="1"/>
    <row r="95" ht="20.1" customHeight="1"/>
    <row r="96" ht="20.1" customHeight="1"/>
    <row r="97" ht="20.1" customHeight="1"/>
    <row r="98" ht="20.1" customHeight="1"/>
    <row r="99" ht="20.1" customHeight="1"/>
    <row r="100" ht="20.1" customHeight="1"/>
  </sheetData>
  <autoFilter xmlns:etc="http://www.wps.cn/officeDocument/2017/etCustomData" ref="A1:G93" etc:filterBottomFollowUsedRange="0">
    <extLst/>
  </autoFilter>
  <mergeCells count="4">
    <mergeCell ref="A1:G1"/>
    <mergeCell ref="A91:E91"/>
    <mergeCell ref="E45:E46"/>
    <mergeCell ref="G79:G80"/>
  </mergeCells>
  <pageMargins left="0.700694444444445" right="0.700694444444445" top="0.751388888888889" bottom="0.751388888888889" header="0.298611111111111" footer="0.298611111111111"/>
  <pageSetup paperSize="9" scale="64" fitToHeight="0" orientation="landscape"/>
  <headerFooter/>
  <rowBreaks count="3" manualBreakCount="3">
    <brk id="92" max="16383" man="1"/>
    <brk id="92" max="16383" man="1"/>
    <brk id="96"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view="pageBreakPreview" zoomScaleNormal="130" topLeftCell="A14" workbookViewId="0">
      <selection activeCell="J15" sqref="J15"/>
    </sheetView>
  </sheetViews>
  <sheetFormatPr defaultColWidth="9" defaultRowHeight="13.5"/>
  <cols>
    <col min="1" max="1" width="5.75833333333333" style="1" customWidth="1"/>
    <col min="2" max="2" width="32.2583333333333" style="129" customWidth="1"/>
    <col min="3" max="3" width="6.75833333333333" style="1" customWidth="1"/>
    <col min="4" max="7" width="7.13333333333333" style="1" customWidth="1"/>
    <col min="8" max="8" width="12.6333333333333" style="130" customWidth="1"/>
    <col min="9" max="9" width="9" style="1" customWidth="1"/>
    <col min="10" max="10" width="23.5" style="130" customWidth="1"/>
    <col min="12" max="13" width="13.8833333333333" style="119" customWidth="1"/>
  </cols>
  <sheetData>
    <row r="1" ht="51" customHeight="1" spans="1:13">
      <c r="A1" s="126" t="s">
        <v>430</v>
      </c>
      <c r="B1" s="131" t="s">
        <v>431</v>
      </c>
      <c r="C1" s="109" t="s">
        <v>432</v>
      </c>
      <c r="D1" s="132" t="s">
        <v>433</v>
      </c>
      <c r="E1" s="132"/>
      <c r="F1" s="132" t="s">
        <v>434</v>
      </c>
      <c r="G1" s="132"/>
      <c r="H1" s="132" t="s">
        <v>435</v>
      </c>
      <c r="I1" s="132" t="s">
        <v>436</v>
      </c>
      <c r="J1" s="139" t="s">
        <v>9</v>
      </c>
      <c r="L1" s="140" t="s">
        <v>437</v>
      </c>
      <c r="M1" s="140" t="s">
        <v>438</v>
      </c>
    </row>
    <row r="2" ht="18" customHeight="1" spans="1:13">
      <c r="A2" s="126">
        <v>1</v>
      </c>
      <c r="B2" s="133" t="s">
        <v>439</v>
      </c>
      <c r="C2" s="126">
        <v>220</v>
      </c>
      <c r="D2" s="126" t="s">
        <v>440</v>
      </c>
      <c r="E2" s="126"/>
      <c r="F2" s="126">
        <v>4.5</v>
      </c>
      <c r="G2" s="126"/>
      <c r="H2" s="126" t="s">
        <v>189</v>
      </c>
      <c r="I2" s="126">
        <v>5</v>
      </c>
      <c r="J2" s="141" t="s">
        <v>441</v>
      </c>
      <c r="L2" s="142" t="s">
        <v>442</v>
      </c>
      <c r="M2" s="142" t="s">
        <v>443</v>
      </c>
    </row>
    <row r="3" ht="18" customHeight="1" spans="1:13">
      <c r="A3" s="126">
        <v>2</v>
      </c>
      <c r="B3" s="133" t="s">
        <v>444</v>
      </c>
      <c r="C3" s="126">
        <v>110</v>
      </c>
      <c r="D3" s="134" t="s">
        <v>440</v>
      </c>
      <c r="E3" s="135"/>
      <c r="F3" s="136" t="s">
        <v>445</v>
      </c>
      <c r="G3" s="136"/>
      <c r="H3" s="126" t="s">
        <v>189</v>
      </c>
      <c r="I3" s="136" t="s">
        <v>446</v>
      </c>
      <c r="J3" s="141" t="s">
        <v>441</v>
      </c>
      <c r="L3" s="142" t="s">
        <v>447</v>
      </c>
      <c r="M3" s="142" t="s">
        <v>448</v>
      </c>
    </row>
    <row r="4" ht="18" customHeight="1" spans="1:13">
      <c r="A4" s="126">
        <v>3</v>
      </c>
      <c r="B4" s="131" t="s">
        <v>449</v>
      </c>
      <c r="C4" s="126">
        <v>100</v>
      </c>
      <c r="D4" s="126" t="s">
        <v>440</v>
      </c>
      <c r="E4" s="126"/>
      <c r="F4" s="126">
        <v>2.3</v>
      </c>
      <c r="G4" s="126"/>
      <c r="H4" s="126" t="s">
        <v>189</v>
      </c>
      <c r="I4" s="126">
        <v>5</v>
      </c>
      <c r="J4" s="141" t="s">
        <v>441</v>
      </c>
      <c r="L4" s="143" t="s">
        <v>450</v>
      </c>
      <c r="M4" s="143" t="s">
        <v>451</v>
      </c>
    </row>
    <row r="5" ht="18" customHeight="1" spans="1:13">
      <c r="A5" s="126">
        <v>4</v>
      </c>
      <c r="B5" s="131" t="s">
        <v>452</v>
      </c>
      <c r="C5" s="126">
        <v>110</v>
      </c>
      <c r="D5" s="126" t="s">
        <v>440</v>
      </c>
      <c r="E5" s="126"/>
      <c r="F5" s="136" t="s">
        <v>453</v>
      </c>
      <c r="G5" s="136"/>
      <c r="H5" s="126" t="s">
        <v>189</v>
      </c>
      <c r="I5" s="136" t="s">
        <v>454</v>
      </c>
      <c r="J5" s="139"/>
      <c r="L5" s="143">
        <v>113.431192</v>
      </c>
      <c r="M5" s="143">
        <v>22.356797</v>
      </c>
    </row>
    <row r="6" ht="18" customHeight="1" spans="1:13">
      <c r="A6" s="126">
        <v>5</v>
      </c>
      <c r="B6" s="133" t="s">
        <v>455</v>
      </c>
      <c r="C6" s="126">
        <v>100</v>
      </c>
      <c r="D6" s="126" t="s">
        <v>456</v>
      </c>
      <c r="E6" s="126"/>
      <c r="F6" s="136" t="s">
        <v>457</v>
      </c>
      <c r="G6" s="136"/>
      <c r="H6" s="126" t="s">
        <v>189</v>
      </c>
      <c r="I6" s="136" t="s">
        <v>458</v>
      </c>
      <c r="J6" s="139"/>
      <c r="L6" s="142" t="s">
        <v>459</v>
      </c>
      <c r="M6" s="142" t="s">
        <v>460</v>
      </c>
    </row>
    <row r="7" ht="18" customHeight="1" spans="1:13">
      <c r="A7" s="126">
        <v>6</v>
      </c>
      <c r="B7" s="131" t="s">
        <v>461</v>
      </c>
      <c r="C7" s="126">
        <v>110</v>
      </c>
      <c r="D7" s="126" t="s">
        <v>456</v>
      </c>
      <c r="E7" s="126"/>
      <c r="F7" s="136" t="s">
        <v>458</v>
      </c>
      <c r="G7" s="136"/>
      <c r="H7" s="126" t="s">
        <v>189</v>
      </c>
      <c r="I7" s="136" t="s">
        <v>462</v>
      </c>
      <c r="J7" s="141" t="s">
        <v>463</v>
      </c>
      <c r="L7" s="143" t="s">
        <v>464</v>
      </c>
      <c r="M7" s="143" t="s">
        <v>465</v>
      </c>
    </row>
    <row r="8" ht="18" customHeight="1" spans="1:13">
      <c r="A8" s="126">
        <v>7</v>
      </c>
      <c r="B8" s="131" t="s">
        <v>466</v>
      </c>
      <c r="C8" s="126">
        <v>100</v>
      </c>
      <c r="D8" s="126" t="s">
        <v>456</v>
      </c>
      <c r="E8" s="126"/>
      <c r="F8" s="136" t="s">
        <v>467</v>
      </c>
      <c r="G8" s="136"/>
      <c r="H8" s="126" t="s">
        <v>185</v>
      </c>
      <c r="I8" s="136" t="s">
        <v>468</v>
      </c>
      <c r="J8" s="139"/>
      <c r="L8" s="142" t="s">
        <v>469</v>
      </c>
      <c r="M8" s="142" t="s">
        <v>470</v>
      </c>
    </row>
    <row r="9" ht="18" customHeight="1" spans="1:13">
      <c r="A9" s="126">
        <v>8</v>
      </c>
      <c r="B9" s="131" t="s">
        <v>471</v>
      </c>
      <c r="C9" s="126">
        <v>100</v>
      </c>
      <c r="D9" s="126" t="s">
        <v>456</v>
      </c>
      <c r="E9" s="126"/>
      <c r="F9" s="136" t="s">
        <v>472</v>
      </c>
      <c r="G9" s="136"/>
      <c r="H9" s="126" t="s">
        <v>189</v>
      </c>
      <c r="I9" s="136" t="s">
        <v>462</v>
      </c>
      <c r="J9" s="141" t="s">
        <v>463</v>
      </c>
      <c r="L9" s="142" t="s">
        <v>473</v>
      </c>
      <c r="M9" s="142" t="s">
        <v>474</v>
      </c>
    </row>
    <row r="10" ht="18" customHeight="1" spans="1:13">
      <c r="A10" s="126">
        <v>9</v>
      </c>
      <c r="B10" s="131" t="s">
        <v>475</v>
      </c>
      <c r="C10" s="126">
        <v>110</v>
      </c>
      <c r="D10" s="126" t="s">
        <v>476</v>
      </c>
      <c r="E10" s="126"/>
      <c r="F10" s="126">
        <v>2.3</v>
      </c>
      <c r="G10" s="126"/>
      <c r="H10" s="126" t="s">
        <v>189</v>
      </c>
      <c r="I10" s="136" t="s">
        <v>462</v>
      </c>
      <c r="J10" s="141" t="s">
        <v>477</v>
      </c>
      <c r="L10" s="143" t="s">
        <v>478</v>
      </c>
      <c r="M10" s="143" t="s">
        <v>479</v>
      </c>
    </row>
    <row r="11" ht="18" customHeight="1" spans="1:13">
      <c r="A11" s="126">
        <v>10</v>
      </c>
      <c r="B11" s="131" t="s">
        <v>480</v>
      </c>
      <c r="C11" s="126">
        <v>100</v>
      </c>
      <c r="D11" s="126" t="s">
        <v>476</v>
      </c>
      <c r="E11" s="126"/>
      <c r="F11" s="136" t="s">
        <v>472</v>
      </c>
      <c r="G11" s="136"/>
      <c r="H11" s="126" t="s">
        <v>189</v>
      </c>
      <c r="I11" s="136" t="s">
        <v>462</v>
      </c>
      <c r="J11" s="141" t="s">
        <v>477</v>
      </c>
      <c r="L11" s="142" t="s">
        <v>481</v>
      </c>
      <c r="M11" s="142" t="s">
        <v>482</v>
      </c>
    </row>
    <row r="12" ht="18" customHeight="1" spans="1:13">
      <c r="A12" s="126">
        <v>11</v>
      </c>
      <c r="B12" s="131" t="s">
        <v>483</v>
      </c>
      <c r="C12" s="126">
        <v>110</v>
      </c>
      <c r="D12" s="126" t="s">
        <v>484</v>
      </c>
      <c r="E12" s="126"/>
      <c r="F12" s="136" t="s">
        <v>446</v>
      </c>
      <c r="G12" s="136"/>
      <c r="H12" s="126" t="s">
        <v>185</v>
      </c>
      <c r="I12" s="136" t="s">
        <v>468</v>
      </c>
      <c r="J12" s="139"/>
      <c r="L12" s="142" t="s">
        <v>485</v>
      </c>
      <c r="M12" s="142" t="s">
        <v>486</v>
      </c>
    </row>
    <row r="13" ht="18" customHeight="1" spans="1:13">
      <c r="A13" s="126">
        <v>12</v>
      </c>
      <c r="B13" s="131" t="s">
        <v>487</v>
      </c>
      <c r="C13" s="126">
        <v>100</v>
      </c>
      <c r="D13" s="126" t="s">
        <v>484</v>
      </c>
      <c r="E13" s="126"/>
      <c r="F13" s="136" t="s">
        <v>453</v>
      </c>
      <c r="G13" s="136"/>
      <c r="H13" s="126" t="s">
        <v>185</v>
      </c>
      <c r="I13" s="136" t="s">
        <v>468</v>
      </c>
      <c r="J13" s="139"/>
      <c r="L13" s="143">
        <v>113.600481</v>
      </c>
      <c r="M13" s="143">
        <v>22.551425</v>
      </c>
    </row>
    <row r="14" ht="18" customHeight="1" spans="1:13">
      <c r="A14" s="126">
        <v>13</v>
      </c>
      <c r="B14" s="131" t="s">
        <v>488</v>
      </c>
      <c r="C14" s="126">
        <v>110</v>
      </c>
      <c r="D14" s="126" t="s">
        <v>484</v>
      </c>
      <c r="E14" s="126"/>
      <c r="F14" s="136" t="s">
        <v>489</v>
      </c>
      <c r="G14" s="136"/>
      <c r="H14" s="126" t="s">
        <v>189</v>
      </c>
      <c r="I14" s="126">
        <v>5</v>
      </c>
      <c r="J14" s="139"/>
      <c r="L14" s="142" t="s">
        <v>490</v>
      </c>
      <c r="M14" s="142" t="s">
        <v>491</v>
      </c>
    </row>
    <row r="15" ht="18" customHeight="1" spans="1:13">
      <c r="A15" s="137">
        <v>14</v>
      </c>
      <c r="B15" s="131" t="s">
        <v>492</v>
      </c>
      <c r="C15" s="137">
        <v>100</v>
      </c>
      <c r="D15" s="137" t="s">
        <v>476</v>
      </c>
      <c r="E15" s="137" t="s">
        <v>456</v>
      </c>
      <c r="F15" s="138" t="s">
        <v>493</v>
      </c>
      <c r="G15" s="138" t="s">
        <v>494</v>
      </c>
      <c r="H15" s="137" t="s">
        <v>189</v>
      </c>
      <c r="I15" s="137">
        <v>5</v>
      </c>
      <c r="J15" s="144"/>
      <c r="L15" s="143" t="s">
        <v>495</v>
      </c>
      <c r="M15" s="143" t="s">
        <v>496</v>
      </c>
    </row>
    <row r="16" ht="18" customHeight="1" spans="1:13">
      <c r="A16" s="126">
        <v>15</v>
      </c>
      <c r="B16" s="131" t="s">
        <v>497</v>
      </c>
      <c r="C16" s="126">
        <v>200</v>
      </c>
      <c r="D16" s="126" t="s">
        <v>476</v>
      </c>
      <c r="E16" s="126" t="s">
        <v>456</v>
      </c>
      <c r="F16" s="136" t="s">
        <v>498</v>
      </c>
      <c r="G16" s="136" t="s">
        <v>446</v>
      </c>
      <c r="H16" s="126" t="s">
        <v>189</v>
      </c>
      <c r="I16" s="126">
        <v>5</v>
      </c>
      <c r="J16" s="139"/>
      <c r="L16" s="143" t="s">
        <v>499</v>
      </c>
      <c r="M16" s="143" t="s">
        <v>500</v>
      </c>
    </row>
    <row r="17" ht="18" customHeight="1" spans="1:13">
      <c r="A17" s="126">
        <v>16</v>
      </c>
      <c r="B17" s="131" t="s">
        <v>501</v>
      </c>
      <c r="C17" s="126">
        <v>120</v>
      </c>
      <c r="D17" s="134" t="s">
        <v>440</v>
      </c>
      <c r="E17" s="126" t="s">
        <v>484</v>
      </c>
      <c r="F17" s="136" t="s">
        <v>494</v>
      </c>
      <c r="G17" s="136" t="s">
        <v>502</v>
      </c>
      <c r="H17" s="126" t="s">
        <v>189</v>
      </c>
      <c r="I17" s="126">
        <v>5</v>
      </c>
      <c r="J17" s="139"/>
      <c r="L17" s="142" t="s">
        <v>503</v>
      </c>
      <c r="M17" s="142" t="s">
        <v>504</v>
      </c>
    </row>
    <row r="18" ht="18" customHeight="1" spans="1:13">
      <c r="A18" s="126">
        <v>17</v>
      </c>
      <c r="B18" s="131" t="s">
        <v>505</v>
      </c>
      <c r="C18" s="126">
        <v>120</v>
      </c>
      <c r="D18" s="126" t="s">
        <v>440</v>
      </c>
      <c r="E18" s="126" t="s">
        <v>484</v>
      </c>
      <c r="F18" s="136" t="s">
        <v>467</v>
      </c>
      <c r="G18" s="136" t="s">
        <v>506</v>
      </c>
      <c r="H18" s="126" t="s">
        <v>185</v>
      </c>
      <c r="I18" s="136" t="s">
        <v>468</v>
      </c>
      <c r="J18" s="139"/>
      <c r="L18" s="143" t="s">
        <v>507</v>
      </c>
      <c r="M18" s="143" t="s">
        <v>508</v>
      </c>
    </row>
    <row r="19" ht="18" customHeight="1" spans="1:13">
      <c r="A19" s="126">
        <v>18</v>
      </c>
      <c r="B19" s="131" t="s">
        <v>509</v>
      </c>
      <c r="C19" s="126">
        <v>220</v>
      </c>
      <c r="D19" s="126" t="s">
        <v>484</v>
      </c>
      <c r="E19" s="126" t="s">
        <v>510</v>
      </c>
      <c r="F19" s="136" t="s">
        <v>511</v>
      </c>
      <c r="G19" s="136" t="s">
        <v>493</v>
      </c>
      <c r="H19" s="126" t="s">
        <v>189</v>
      </c>
      <c r="I19" s="126">
        <v>5</v>
      </c>
      <c r="J19" s="139"/>
      <c r="L19" s="143">
        <v>113.710592</v>
      </c>
      <c r="M19" s="143">
        <v>22.562472</v>
      </c>
    </row>
    <row r="20" ht="18" customHeight="1" spans="1:13">
      <c r="A20" s="137">
        <v>19</v>
      </c>
      <c r="B20" s="131" t="s">
        <v>512</v>
      </c>
      <c r="C20" s="137">
        <v>100</v>
      </c>
      <c r="D20" s="137" t="s">
        <v>456</v>
      </c>
      <c r="E20" s="137" t="s">
        <v>484</v>
      </c>
      <c r="F20" s="138" t="s">
        <v>446</v>
      </c>
      <c r="G20" s="138" t="s">
        <v>446</v>
      </c>
      <c r="H20" s="137" t="s">
        <v>189</v>
      </c>
      <c r="I20" s="137">
        <v>5</v>
      </c>
      <c r="J20" s="144"/>
      <c r="L20" s="143" t="s">
        <v>513</v>
      </c>
      <c r="M20" s="143" t="s">
        <v>514</v>
      </c>
    </row>
    <row r="21" ht="18" customHeight="1" spans="1:13">
      <c r="A21" s="126">
        <v>20</v>
      </c>
      <c r="B21" s="131" t="s">
        <v>515</v>
      </c>
      <c r="C21" s="126">
        <v>100</v>
      </c>
      <c r="D21" s="126" t="s">
        <v>516</v>
      </c>
      <c r="E21" s="126"/>
      <c r="F21" s="136" t="s">
        <v>517</v>
      </c>
      <c r="G21" s="136"/>
      <c r="H21" s="126" t="s">
        <v>189</v>
      </c>
      <c r="I21" s="126">
        <v>5</v>
      </c>
      <c r="J21" s="139" t="s">
        <v>518</v>
      </c>
      <c r="L21" s="142" t="s">
        <v>519</v>
      </c>
      <c r="M21" s="142" t="s">
        <v>520</v>
      </c>
    </row>
    <row r="22" ht="18" customHeight="1" spans="1:13">
      <c r="A22" s="126">
        <v>21</v>
      </c>
      <c r="B22" s="131" t="s">
        <v>521</v>
      </c>
      <c r="C22" s="126">
        <v>100</v>
      </c>
      <c r="D22" s="126" t="s">
        <v>516</v>
      </c>
      <c r="E22" s="126"/>
      <c r="F22" s="136" t="s">
        <v>522</v>
      </c>
      <c r="G22" s="136"/>
      <c r="H22" s="126" t="s">
        <v>189</v>
      </c>
      <c r="I22" s="126">
        <v>3</v>
      </c>
      <c r="J22" s="139" t="s">
        <v>518</v>
      </c>
      <c r="L22" s="143" t="s">
        <v>523</v>
      </c>
      <c r="M22" s="143" t="s">
        <v>524</v>
      </c>
    </row>
    <row r="23" ht="18" customHeight="1" spans="1:13">
      <c r="A23" s="126">
        <v>22</v>
      </c>
      <c r="B23" s="131" t="s">
        <v>525</v>
      </c>
      <c r="C23" s="126">
        <v>100</v>
      </c>
      <c r="D23" s="126" t="s">
        <v>516</v>
      </c>
      <c r="E23" s="126"/>
      <c r="F23" s="136" t="s">
        <v>502</v>
      </c>
      <c r="G23" s="136"/>
      <c r="H23" s="126" t="s">
        <v>185</v>
      </c>
      <c r="I23" s="136" t="s">
        <v>468</v>
      </c>
      <c r="J23" s="139" t="s">
        <v>518</v>
      </c>
      <c r="L23" s="143" t="s">
        <v>526</v>
      </c>
      <c r="M23" s="143">
        <v>22.561188</v>
      </c>
    </row>
    <row r="24" ht="18" customHeight="1" spans="1:13">
      <c r="A24" s="126">
        <v>23</v>
      </c>
      <c r="B24" s="131" t="s">
        <v>527</v>
      </c>
      <c r="C24" s="126">
        <v>100</v>
      </c>
      <c r="D24" s="126" t="s">
        <v>516</v>
      </c>
      <c r="E24" s="126"/>
      <c r="F24" s="136" t="s">
        <v>528</v>
      </c>
      <c r="G24" s="136"/>
      <c r="H24" s="126" t="s">
        <v>189</v>
      </c>
      <c r="I24" s="126">
        <v>5</v>
      </c>
      <c r="J24" s="139" t="s">
        <v>518</v>
      </c>
      <c r="L24" s="143" t="s">
        <v>529</v>
      </c>
      <c r="M24" s="143" t="s">
        <v>530</v>
      </c>
    </row>
    <row r="25" ht="18" customHeight="1" spans="1:13">
      <c r="A25" s="126">
        <v>24</v>
      </c>
      <c r="B25" s="131" t="s">
        <v>531</v>
      </c>
      <c r="C25" s="126">
        <v>110</v>
      </c>
      <c r="D25" s="126" t="s">
        <v>516</v>
      </c>
      <c r="E25" s="126"/>
      <c r="F25" s="136" t="s">
        <v>532</v>
      </c>
      <c r="G25" s="136"/>
      <c r="H25" s="126" t="s">
        <v>185</v>
      </c>
      <c r="I25" s="136" t="s">
        <v>468</v>
      </c>
      <c r="J25" s="139" t="s">
        <v>518</v>
      </c>
      <c r="L25" s="142" t="s">
        <v>533</v>
      </c>
      <c r="M25" s="142" t="s">
        <v>534</v>
      </c>
    </row>
    <row r="26" ht="18" customHeight="1" spans="1:13">
      <c r="A26" s="126">
        <v>25</v>
      </c>
      <c r="B26" s="131" t="s">
        <v>535</v>
      </c>
      <c r="C26" s="126">
        <v>110</v>
      </c>
      <c r="D26" s="126" t="s">
        <v>516</v>
      </c>
      <c r="E26" s="126"/>
      <c r="F26" s="136" t="s">
        <v>517</v>
      </c>
      <c r="G26" s="136"/>
      <c r="H26" s="126" t="s">
        <v>189</v>
      </c>
      <c r="I26" s="126">
        <v>3</v>
      </c>
      <c r="J26" s="139" t="s">
        <v>518</v>
      </c>
      <c r="L26" s="142" t="s">
        <v>536</v>
      </c>
      <c r="M26" s="142" t="s">
        <v>537</v>
      </c>
    </row>
    <row r="27" ht="18" customHeight="1" spans="1:13">
      <c r="A27" s="126">
        <v>26</v>
      </c>
      <c r="B27" s="131" t="s">
        <v>538</v>
      </c>
      <c r="C27" s="126">
        <v>100</v>
      </c>
      <c r="D27" s="126" t="s">
        <v>516</v>
      </c>
      <c r="E27" s="126"/>
      <c r="F27" s="136" t="s">
        <v>528</v>
      </c>
      <c r="G27" s="136"/>
      <c r="H27" s="126" t="s">
        <v>185</v>
      </c>
      <c r="I27" s="136" t="s">
        <v>468</v>
      </c>
      <c r="J27" s="139" t="s">
        <v>518</v>
      </c>
      <c r="L27" s="142" t="s">
        <v>539</v>
      </c>
      <c r="M27" s="142" t="s">
        <v>540</v>
      </c>
    </row>
    <row r="28" ht="18" customHeight="1" spans="1:13">
      <c r="A28" s="126">
        <v>27</v>
      </c>
      <c r="B28" s="131" t="s">
        <v>541</v>
      </c>
      <c r="C28" s="126">
        <v>120</v>
      </c>
      <c r="D28" s="126" t="s">
        <v>516</v>
      </c>
      <c r="E28" s="126"/>
      <c r="F28" s="136" t="s">
        <v>506</v>
      </c>
      <c r="G28" s="136"/>
      <c r="H28" s="126" t="s">
        <v>189</v>
      </c>
      <c r="I28" s="126">
        <v>5</v>
      </c>
      <c r="J28" s="139" t="s">
        <v>518</v>
      </c>
      <c r="L28" s="142" t="s">
        <v>542</v>
      </c>
      <c r="M28" s="142" t="s">
        <v>543</v>
      </c>
    </row>
  </sheetData>
  <mergeCells count="44">
    <mergeCell ref="D1:E1"/>
    <mergeCell ref="F1:G1"/>
    <mergeCell ref="D2:E2"/>
    <mergeCell ref="F2:G2"/>
    <mergeCell ref="D3:E3"/>
    <mergeCell ref="F3:G3"/>
    <mergeCell ref="D4:E4"/>
    <mergeCell ref="F4:G4"/>
    <mergeCell ref="D5:E5"/>
    <mergeCell ref="F5:G5"/>
    <mergeCell ref="D6:E6"/>
    <mergeCell ref="F6:G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s>
  <pageMargins left="0.7" right="0.7" top="0.75" bottom="0.75" header="0.3" footer="0.3"/>
  <pageSetup paperSize="9" scale="7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view="pageBreakPreview" zoomScale="130" zoomScaleNormal="100" workbookViewId="0">
      <selection activeCell="G89" sqref="A1:G89"/>
    </sheetView>
  </sheetViews>
  <sheetFormatPr defaultColWidth="9" defaultRowHeight="13.5" outlineLevelCol="7"/>
  <cols>
    <col min="1" max="1" width="6.88333333333333" style="101" customWidth="1"/>
    <col min="2" max="2" width="31.5" style="119" customWidth="1"/>
    <col min="3" max="7" width="10.8833333333333" style="2" customWidth="1"/>
  </cols>
  <sheetData>
    <row r="1" ht="39" customHeight="1" spans="1:8">
      <c r="A1" s="120" t="s">
        <v>430</v>
      </c>
      <c r="B1" s="121" t="s">
        <v>431</v>
      </c>
      <c r="C1" s="122" t="s">
        <v>544</v>
      </c>
      <c r="D1" s="122" t="s">
        <v>545</v>
      </c>
      <c r="E1" s="123" t="s">
        <v>546</v>
      </c>
      <c r="F1" s="123" t="s">
        <v>547</v>
      </c>
      <c r="G1" s="124" t="s">
        <v>548</v>
      </c>
      <c r="H1" s="125"/>
    </row>
    <row r="2" spans="1:7">
      <c r="A2" s="107">
        <v>1</v>
      </c>
      <c r="B2" s="110" t="s">
        <v>549</v>
      </c>
      <c r="C2" s="109">
        <v>4</v>
      </c>
      <c r="D2" s="109">
        <f t="shared" ref="D2:D29" si="0">C2*2-1</f>
        <v>7</v>
      </c>
      <c r="E2" s="109">
        <v>3</v>
      </c>
      <c r="F2" s="109">
        <f t="shared" ref="F2:F21" si="1">E2*4-1</f>
        <v>11</v>
      </c>
      <c r="G2" s="109">
        <f t="shared" ref="G2:G29" si="2">D2-F2</f>
        <v>-4</v>
      </c>
    </row>
    <row r="3" spans="1:7">
      <c r="A3" s="107">
        <v>2</v>
      </c>
      <c r="B3" s="110" t="s">
        <v>550</v>
      </c>
      <c r="C3" s="109">
        <v>4</v>
      </c>
      <c r="D3" s="109">
        <f t="shared" si="0"/>
        <v>7</v>
      </c>
      <c r="E3" s="109">
        <v>3</v>
      </c>
      <c r="F3" s="109">
        <f t="shared" si="1"/>
        <v>11</v>
      </c>
      <c r="G3" s="109">
        <f t="shared" si="2"/>
        <v>-4</v>
      </c>
    </row>
    <row r="4" spans="1:7">
      <c r="A4" s="107">
        <v>3</v>
      </c>
      <c r="B4" s="110" t="s">
        <v>551</v>
      </c>
      <c r="C4" s="109">
        <v>4</v>
      </c>
      <c r="D4" s="109">
        <f t="shared" si="0"/>
        <v>7</v>
      </c>
      <c r="E4" s="109">
        <v>2</v>
      </c>
      <c r="F4" s="109">
        <f t="shared" si="1"/>
        <v>7</v>
      </c>
      <c r="G4" s="109">
        <f t="shared" si="2"/>
        <v>0</v>
      </c>
    </row>
    <row r="5" spans="1:7">
      <c r="A5" s="107">
        <v>4</v>
      </c>
      <c r="B5" s="110" t="s">
        <v>552</v>
      </c>
      <c r="C5" s="109">
        <v>4</v>
      </c>
      <c r="D5" s="109">
        <f t="shared" si="0"/>
        <v>7</v>
      </c>
      <c r="E5" s="109">
        <v>2</v>
      </c>
      <c r="F5" s="109">
        <f t="shared" si="1"/>
        <v>7</v>
      </c>
      <c r="G5" s="109">
        <f t="shared" si="2"/>
        <v>0</v>
      </c>
    </row>
    <row r="6" spans="1:7">
      <c r="A6" s="107">
        <v>5</v>
      </c>
      <c r="B6" s="110" t="s">
        <v>553</v>
      </c>
      <c r="C6" s="109">
        <v>4</v>
      </c>
      <c r="D6" s="109">
        <f t="shared" si="0"/>
        <v>7</v>
      </c>
      <c r="E6" s="109">
        <v>2</v>
      </c>
      <c r="F6" s="109">
        <f t="shared" si="1"/>
        <v>7</v>
      </c>
      <c r="G6" s="109">
        <f t="shared" si="2"/>
        <v>0</v>
      </c>
    </row>
    <row r="7" spans="1:7">
      <c r="A7" s="107">
        <v>6</v>
      </c>
      <c r="B7" s="110" t="s">
        <v>449</v>
      </c>
      <c r="C7" s="109">
        <v>4</v>
      </c>
      <c r="D7" s="109">
        <f t="shared" si="0"/>
        <v>7</v>
      </c>
      <c r="E7" s="109">
        <v>3</v>
      </c>
      <c r="F7" s="109">
        <f t="shared" si="1"/>
        <v>11</v>
      </c>
      <c r="G7" s="109">
        <f t="shared" si="2"/>
        <v>-4</v>
      </c>
    </row>
    <row r="8" spans="1:7">
      <c r="A8" s="107">
        <v>7</v>
      </c>
      <c r="B8" s="110" t="s">
        <v>475</v>
      </c>
      <c r="C8" s="109">
        <v>6</v>
      </c>
      <c r="D8" s="109">
        <f t="shared" si="0"/>
        <v>11</v>
      </c>
      <c r="E8" s="109">
        <v>3</v>
      </c>
      <c r="F8" s="109">
        <f t="shared" si="1"/>
        <v>11</v>
      </c>
      <c r="G8" s="109">
        <f t="shared" si="2"/>
        <v>0</v>
      </c>
    </row>
    <row r="9" spans="1:7">
      <c r="A9" s="107">
        <v>8</v>
      </c>
      <c r="B9" s="110" t="s">
        <v>554</v>
      </c>
      <c r="C9" s="109">
        <v>6</v>
      </c>
      <c r="D9" s="109">
        <f t="shared" si="0"/>
        <v>11</v>
      </c>
      <c r="E9" s="109">
        <v>3</v>
      </c>
      <c r="F9" s="109">
        <f t="shared" si="1"/>
        <v>11</v>
      </c>
      <c r="G9" s="109">
        <f t="shared" si="2"/>
        <v>0</v>
      </c>
    </row>
    <row r="10" spans="1:7">
      <c r="A10" s="107">
        <v>9</v>
      </c>
      <c r="B10" s="110" t="s">
        <v>497</v>
      </c>
      <c r="C10" s="109">
        <v>8</v>
      </c>
      <c r="D10" s="109">
        <f t="shared" si="0"/>
        <v>15</v>
      </c>
      <c r="E10" s="109">
        <v>3</v>
      </c>
      <c r="F10" s="109">
        <f t="shared" si="1"/>
        <v>11</v>
      </c>
      <c r="G10" s="109">
        <f t="shared" si="2"/>
        <v>4</v>
      </c>
    </row>
    <row r="11" spans="1:7">
      <c r="A11" s="107">
        <v>10</v>
      </c>
      <c r="B11" s="110" t="s">
        <v>555</v>
      </c>
      <c r="C11" s="109">
        <v>6</v>
      </c>
      <c r="D11" s="109">
        <f t="shared" si="0"/>
        <v>11</v>
      </c>
      <c r="E11" s="109">
        <v>3</v>
      </c>
      <c r="F11" s="109">
        <f t="shared" si="1"/>
        <v>11</v>
      </c>
      <c r="G11" s="109">
        <f t="shared" si="2"/>
        <v>0</v>
      </c>
    </row>
    <row r="12" spans="1:7">
      <c r="A12" s="107">
        <v>11</v>
      </c>
      <c r="B12" s="110" t="s">
        <v>521</v>
      </c>
      <c r="C12" s="109">
        <v>6</v>
      </c>
      <c r="D12" s="109">
        <f t="shared" si="0"/>
        <v>11</v>
      </c>
      <c r="E12" s="109">
        <v>4</v>
      </c>
      <c r="F12" s="109">
        <f t="shared" si="1"/>
        <v>15</v>
      </c>
      <c r="G12" s="109">
        <f t="shared" si="2"/>
        <v>-4</v>
      </c>
    </row>
    <row r="13" spans="1:7">
      <c r="A13" s="107">
        <v>12</v>
      </c>
      <c r="B13" s="110" t="s">
        <v>461</v>
      </c>
      <c r="C13" s="109">
        <v>4</v>
      </c>
      <c r="D13" s="109">
        <f t="shared" si="0"/>
        <v>7</v>
      </c>
      <c r="E13" s="109">
        <v>2</v>
      </c>
      <c r="F13" s="109">
        <f t="shared" si="1"/>
        <v>7</v>
      </c>
      <c r="G13" s="109">
        <f t="shared" si="2"/>
        <v>0</v>
      </c>
    </row>
    <row r="14" spans="1:7">
      <c r="A14" s="107">
        <v>13</v>
      </c>
      <c r="B14" s="110" t="s">
        <v>556</v>
      </c>
      <c r="C14" s="109">
        <v>4</v>
      </c>
      <c r="D14" s="109">
        <f t="shared" si="0"/>
        <v>7</v>
      </c>
      <c r="E14" s="109">
        <v>2</v>
      </c>
      <c r="F14" s="109">
        <f t="shared" si="1"/>
        <v>7</v>
      </c>
      <c r="G14" s="109">
        <f t="shared" si="2"/>
        <v>0</v>
      </c>
    </row>
    <row r="15" spans="1:7">
      <c r="A15" s="107">
        <v>14</v>
      </c>
      <c r="B15" s="110" t="s">
        <v>492</v>
      </c>
      <c r="C15" s="109">
        <v>4</v>
      </c>
      <c r="D15" s="109">
        <f t="shared" si="0"/>
        <v>7</v>
      </c>
      <c r="E15" s="109">
        <v>2</v>
      </c>
      <c r="F15" s="109">
        <f t="shared" si="1"/>
        <v>7</v>
      </c>
      <c r="G15" s="109">
        <f t="shared" si="2"/>
        <v>0</v>
      </c>
    </row>
    <row r="16" spans="1:7">
      <c r="A16" s="107">
        <v>15</v>
      </c>
      <c r="B16" s="110" t="s">
        <v>512</v>
      </c>
      <c r="C16" s="109">
        <v>4</v>
      </c>
      <c r="D16" s="109">
        <f t="shared" si="0"/>
        <v>7</v>
      </c>
      <c r="E16" s="109">
        <v>2</v>
      </c>
      <c r="F16" s="109">
        <f t="shared" si="1"/>
        <v>7</v>
      </c>
      <c r="G16" s="109">
        <f t="shared" si="2"/>
        <v>0</v>
      </c>
    </row>
    <row r="17" spans="1:7">
      <c r="A17" s="107">
        <v>16</v>
      </c>
      <c r="B17" s="110" t="s">
        <v>557</v>
      </c>
      <c r="C17" s="109">
        <v>4</v>
      </c>
      <c r="D17" s="109">
        <f t="shared" si="0"/>
        <v>7</v>
      </c>
      <c r="E17" s="109">
        <v>2</v>
      </c>
      <c r="F17" s="109">
        <f t="shared" si="1"/>
        <v>7</v>
      </c>
      <c r="G17" s="109">
        <f t="shared" si="2"/>
        <v>0</v>
      </c>
    </row>
    <row r="18" spans="1:7">
      <c r="A18" s="107">
        <v>17</v>
      </c>
      <c r="B18" s="110" t="s">
        <v>525</v>
      </c>
      <c r="C18" s="109">
        <v>4</v>
      </c>
      <c r="D18" s="109">
        <f t="shared" si="0"/>
        <v>7</v>
      </c>
      <c r="E18" s="109">
        <v>2</v>
      </c>
      <c r="F18" s="109">
        <f t="shared" si="1"/>
        <v>7</v>
      </c>
      <c r="G18" s="109">
        <f t="shared" si="2"/>
        <v>0</v>
      </c>
    </row>
    <row r="19" spans="1:7">
      <c r="A19" s="107">
        <v>18</v>
      </c>
      <c r="B19" s="110" t="s">
        <v>558</v>
      </c>
      <c r="C19" s="109">
        <v>4</v>
      </c>
      <c r="D19" s="109">
        <f t="shared" si="0"/>
        <v>7</v>
      </c>
      <c r="E19" s="109">
        <v>2</v>
      </c>
      <c r="F19" s="109">
        <f t="shared" si="1"/>
        <v>7</v>
      </c>
      <c r="G19" s="109">
        <f t="shared" si="2"/>
        <v>0</v>
      </c>
    </row>
    <row r="20" spans="1:7">
      <c r="A20" s="107">
        <v>19</v>
      </c>
      <c r="B20" s="110" t="s">
        <v>527</v>
      </c>
      <c r="C20" s="109">
        <v>6</v>
      </c>
      <c r="D20" s="109">
        <f t="shared" si="0"/>
        <v>11</v>
      </c>
      <c r="E20" s="109">
        <v>3</v>
      </c>
      <c r="F20" s="109">
        <f t="shared" si="1"/>
        <v>11</v>
      </c>
      <c r="G20" s="109">
        <f t="shared" si="2"/>
        <v>0</v>
      </c>
    </row>
    <row r="21" spans="1:7">
      <c r="A21" s="107">
        <v>20</v>
      </c>
      <c r="B21" s="110" t="s">
        <v>505</v>
      </c>
      <c r="C21" s="109">
        <v>4</v>
      </c>
      <c r="D21" s="109">
        <f t="shared" si="0"/>
        <v>7</v>
      </c>
      <c r="E21" s="109">
        <v>2</v>
      </c>
      <c r="F21" s="109">
        <f t="shared" si="1"/>
        <v>7</v>
      </c>
      <c r="G21" s="109">
        <f t="shared" si="2"/>
        <v>0</v>
      </c>
    </row>
    <row r="22" spans="1:7">
      <c r="A22" s="107">
        <v>21</v>
      </c>
      <c r="B22" s="110" t="s">
        <v>559</v>
      </c>
      <c r="C22" s="109">
        <v>6</v>
      </c>
      <c r="D22" s="109">
        <f t="shared" si="0"/>
        <v>11</v>
      </c>
      <c r="E22" s="109">
        <v>0</v>
      </c>
      <c r="F22" s="109">
        <v>0</v>
      </c>
      <c r="G22" s="109">
        <f t="shared" si="2"/>
        <v>11</v>
      </c>
    </row>
    <row r="23" spans="1:7">
      <c r="A23" s="107">
        <v>22</v>
      </c>
      <c r="B23" s="110" t="s">
        <v>560</v>
      </c>
      <c r="C23" s="109">
        <v>4</v>
      </c>
      <c r="D23" s="109">
        <f t="shared" si="0"/>
        <v>7</v>
      </c>
      <c r="E23" s="109">
        <v>1</v>
      </c>
      <c r="F23" s="109">
        <f t="shared" ref="F23:F29" si="3">E23*4-1</f>
        <v>3</v>
      </c>
      <c r="G23" s="109">
        <f t="shared" si="2"/>
        <v>4</v>
      </c>
    </row>
    <row r="24" spans="1:7">
      <c r="A24" s="107">
        <v>23</v>
      </c>
      <c r="B24" s="110" t="s">
        <v>561</v>
      </c>
      <c r="C24" s="109">
        <v>4</v>
      </c>
      <c r="D24" s="109">
        <f t="shared" si="0"/>
        <v>7</v>
      </c>
      <c r="E24" s="109">
        <v>2</v>
      </c>
      <c r="F24" s="109">
        <f t="shared" si="3"/>
        <v>7</v>
      </c>
      <c r="G24" s="109">
        <f t="shared" si="2"/>
        <v>0</v>
      </c>
    </row>
    <row r="25" spans="1:7">
      <c r="A25" s="107">
        <v>24</v>
      </c>
      <c r="B25" s="110" t="s">
        <v>562</v>
      </c>
      <c r="C25" s="109">
        <v>4</v>
      </c>
      <c r="D25" s="109">
        <f t="shared" si="0"/>
        <v>7</v>
      </c>
      <c r="E25" s="109">
        <v>2</v>
      </c>
      <c r="F25" s="109">
        <f t="shared" si="3"/>
        <v>7</v>
      </c>
      <c r="G25" s="109">
        <f t="shared" si="2"/>
        <v>0</v>
      </c>
    </row>
    <row r="26" spans="1:7">
      <c r="A26" s="107">
        <v>25</v>
      </c>
      <c r="B26" s="110" t="s">
        <v>563</v>
      </c>
      <c r="C26" s="109">
        <v>4</v>
      </c>
      <c r="D26" s="109">
        <f t="shared" si="0"/>
        <v>7</v>
      </c>
      <c r="E26" s="109">
        <v>2</v>
      </c>
      <c r="F26" s="109">
        <f t="shared" si="3"/>
        <v>7</v>
      </c>
      <c r="G26" s="109">
        <f t="shared" si="2"/>
        <v>0</v>
      </c>
    </row>
    <row r="27" spans="1:7">
      <c r="A27" s="107">
        <v>26</v>
      </c>
      <c r="B27" s="110" t="s">
        <v>487</v>
      </c>
      <c r="C27" s="109">
        <v>4</v>
      </c>
      <c r="D27" s="109">
        <f t="shared" si="0"/>
        <v>7</v>
      </c>
      <c r="E27" s="109">
        <v>3</v>
      </c>
      <c r="F27" s="109">
        <f t="shared" si="3"/>
        <v>11</v>
      </c>
      <c r="G27" s="109">
        <f t="shared" si="2"/>
        <v>-4</v>
      </c>
    </row>
    <row r="28" spans="1:7">
      <c r="A28" s="107">
        <v>27</v>
      </c>
      <c r="B28" s="110" t="s">
        <v>509</v>
      </c>
      <c r="C28" s="109">
        <v>4</v>
      </c>
      <c r="D28" s="109">
        <f t="shared" si="0"/>
        <v>7</v>
      </c>
      <c r="E28" s="109">
        <v>2</v>
      </c>
      <c r="F28" s="109">
        <f t="shared" si="3"/>
        <v>7</v>
      </c>
      <c r="G28" s="109">
        <f t="shared" si="2"/>
        <v>0</v>
      </c>
    </row>
    <row r="29" spans="1:7">
      <c r="A29" s="107">
        <v>28</v>
      </c>
      <c r="B29" s="110" t="s">
        <v>452</v>
      </c>
      <c r="C29" s="109">
        <v>6</v>
      </c>
      <c r="D29" s="109">
        <f t="shared" si="0"/>
        <v>11</v>
      </c>
      <c r="E29" s="109">
        <v>3</v>
      </c>
      <c r="F29" s="109">
        <f t="shared" si="3"/>
        <v>11</v>
      </c>
      <c r="G29" s="109">
        <f t="shared" si="2"/>
        <v>0</v>
      </c>
    </row>
    <row r="30" spans="1:7">
      <c r="A30" s="107">
        <v>29</v>
      </c>
      <c r="B30" s="110" t="s">
        <v>564</v>
      </c>
      <c r="C30" s="109">
        <v>4</v>
      </c>
      <c r="D30" s="109">
        <f t="shared" ref="D30:D65" si="4">C30*2-1</f>
        <v>7</v>
      </c>
      <c r="E30" s="109">
        <v>1</v>
      </c>
      <c r="F30" s="109">
        <f t="shared" ref="F30:F65" si="5">E30*4-1</f>
        <v>3</v>
      </c>
      <c r="G30" s="109">
        <f t="shared" ref="G30:G65" si="6">D30-F30</f>
        <v>4</v>
      </c>
    </row>
    <row r="31" spans="1:7">
      <c r="A31" s="107">
        <v>30</v>
      </c>
      <c r="B31" s="110" t="s">
        <v>565</v>
      </c>
      <c r="C31" s="109">
        <v>4</v>
      </c>
      <c r="D31" s="109">
        <f t="shared" si="4"/>
        <v>7</v>
      </c>
      <c r="E31" s="109">
        <v>2</v>
      </c>
      <c r="F31" s="109">
        <f t="shared" si="5"/>
        <v>7</v>
      </c>
      <c r="G31" s="109">
        <f t="shared" si="6"/>
        <v>0</v>
      </c>
    </row>
    <row r="32" spans="1:7">
      <c r="A32" s="107">
        <v>31</v>
      </c>
      <c r="B32" s="110" t="s">
        <v>480</v>
      </c>
      <c r="C32" s="109">
        <v>4</v>
      </c>
      <c r="D32" s="109">
        <f t="shared" si="4"/>
        <v>7</v>
      </c>
      <c r="E32" s="109">
        <v>2</v>
      </c>
      <c r="F32" s="109">
        <f t="shared" si="5"/>
        <v>7</v>
      </c>
      <c r="G32" s="109">
        <f t="shared" si="6"/>
        <v>0</v>
      </c>
    </row>
    <row r="33" spans="1:7">
      <c r="A33" s="107">
        <v>32</v>
      </c>
      <c r="B33" s="110" t="s">
        <v>566</v>
      </c>
      <c r="C33" s="109">
        <v>4</v>
      </c>
      <c r="D33" s="109">
        <f t="shared" si="4"/>
        <v>7</v>
      </c>
      <c r="E33" s="109">
        <v>2</v>
      </c>
      <c r="F33" s="109">
        <f t="shared" si="5"/>
        <v>7</v>
      </c>
      <c r="G33" s="109">
        <f t="shared" si="6"/>
        <v>0</v>
      </c>
    </row>
    <row r="34" spans="1:7">
      <c r="A34" s="107">
        <v>33</v>
      </c>
      <c r="B34" s="110" t="s">
        <v>531</v>
      </c>
      <c r="C34" s="109">
        <v>4</v>
      </c>
      <c r="D34" s="109">
        <f t="shared" si="4"/>
        <v>7</v>
      </c>
      <c r="E34" s="109">
        <v>2</v>
      </c>
      <c r="F34" s="109">
        <f t="shared" si="5"/>
        <v>7</v>
      </c>
      <c r="G34" s="109">
        <f t="shared" si="6"/>
        <v>0</v>
      </c>
    </row>
    <row r="35" spans="1:7">
      <c r="A35" s="107">
        <v>34</v>
      </c>
      <c r="B35" s="110" t="s">
        <v>567</v>
      </c>
      <c r="C35" s="109">
        <v>4</v>
      </c>
      <c r="D35" s="109">
        <f t="shared" si="4"/>
        <v>7</v>
      </c>
      <c r="E35" s="109">
        <v>2</v>
      </c>
      <c r="F35" s="109">
        <f t="shared" si="5"/>
        <v>7</v>
      </c>
      <c r="G35" s="109">
        <f t="shared" si="6"/>
        <v>0</v>
      </c>
    </row>
    <row r="36" spans="1:7">
      <c r="A36" s="107">
        <v>35</v>
      </c>
      <c r="B36" s="110" t="s">
        <v>535</v>
      </c>
      <c r="C36" s="109">
        <v>4</v>
      </c>
      <c r="D36" s="109">
        <f t="shared" si="4"/>
        <v>7</v>
      </c>
      <c r="E36" s="109">
        <v>2</v>
      </c>
      <c r="F36" s="109">
        <f t="shared" si="5"/>
        <v>7</v>
      </c>
      <c r="G36" s="109">
        <f t="shared" si="6"/>
        <v>0</v>
      </c>
    </row>
    <row r="37" spans="1:7">
      <c r="A37" s="107">
        <v>36</v>
      </c>
      <c r="B37" s="110" t="s">
        <v>466</v>
      </c>
      <c r="C37" s="109">
        <v>4</v>
      </c>
      <c r="D37" s="109">
        <f t="shared" si="4"/>
        <v>7</v>
      </c>
      <c r="E37" s="109">
        <v>2</v>
      </c>
      <c r="F37" s="109">
        <f t="shared" si="5"/>
        <v>7</v>
      </c>
      <c r="G37" s="109">
        <f t="shared" si="6"/>
        <v>0</v>
      </c>
    </row>
    <row r="38" spans="1:7">
      <c r="A38" s="107">
        <v>37</v>
      </c>
      <c r="B38" s="110" t="s">
        <v>568</v>
      </c>
      <c r="C38" s="109">
        <v>4</v>
      </c>
      <c r="D38" s="109">
        <f t="shared" si="4"/>
        <v>7</v>
      </c>
      <c r="E38" s="109">
        <v>1</v>
      </c>
      <c r="F38" s="109">
        <f t="shared" si="5"/>
        <v>3</v>
      </c>
      <c r="G38" s="109">
        <f t="shared" si="6"/>
        <v>4</v>
      </c>
    </row>
    <row r="39" spans="1:7">
      <c r="A39" s="107">
        <v>38</v>
      </c>
      <c r="B39" s="110" t="s">
        <v>538</v>
      </c>
      <c r="C39" s="109">
        <v>4</v>
      </c>
      <c r="D39" s="109">
        <f t="shared" si="4"/>
        <v>7</v>
      </c>
      <c r="E39" s="109">
        <v>3</v>
      </c>
      <c r="F39" s="109">
        <f t="shared" si="5"/>
        <v>11</v>
      </c>
      <c r="G39" s="109">
        <f t="shared" si="6"/>
        <v>-4</v>
      </c>
    </row>
    <row r="40" spans="1:7">
      <c r="A40" s="107">
        <v>39</v>
      </c>
      <c r="B40" s="110" t="s">
        <v>569</v>
      </c>
      <c r="C40" s="109">
        <v>4</v>
      </c>
      <c r="D40" s="109">
        <f t="shared" si="4"/>
        <v>7</v>
      </c>
      <c r="E40" s="109">
        <v>2</v>
      </c>
      <c r="F40" s="109">
        <f t="shared" si="5"/>
        <v>7</v>
      </c>
      <c r="G40" s="109">
        <f t="shared" si="6"/>
        <v>0</v>
      </c>
    </row>
    <row r="41" spans="1:7">
      <c r="A41" s="107">
        <v>40</v>
      </c>
      <c r="B41" s="110" t="s">
        <v>483</v>
      </c>
      <c r="C41" s="109">
        <v>4</v>
      </c>
      <c r="D41" s="109">
        <f t="shared" si="4"/>
        <v>7</v>
      </c>
      <c r="E41" s="109">
        <v>2</v>
      </c>
      <c r="F41" s="109">
        <f t="shared" si="5"/>
        <v>7</v>
      </c>
      <c r="G41" s="109">
        <f t="shared" si="6"/>
        <v>0</v>
      </c>
    </row>
    <row r="42" spans="1:7">
      <c r="A42" s="107">
        <v>41</v>
      </c>
      <c r="B42" s="110" t="s">
        <v>570</v>
      </c>
      <c r="C42" s="109">
        <v>4</v>
      </c>
      <c r="D42" s="109">
        <f t="shared" si="4"/>
        <v>7</v>
      </c>
      <c r="E42" s="109">
        <v>0</v>
      </c>
      <c r="F42" s="109">
        <v>0</v>
      </c>
      <c r="G42" s="109">
        <f t="shared" si="6"/>
        <v>7</v>
      </c>
    </row>
    <row r="43" spans="1:7">
      <c r="A43" s="107">
        <v>42</v>
      </c>
      <c r="B43" s="110" t="s">
        <v>571</v>
      </c>
      <c r="C43" s="109">
        <v>4</v>
      </c>
      <c r="D43" s="109">
        <f t="shared" si="4"/>
        <v>7</v>
      </c>
      <c r="E43" s="109">
        <v>2</v>
      </c>
      <c r="F43" s="109">
        <f t="shared" si="5"/>
        <v>7</v>
      </c>
      <c r="G43" s="109">
        <f t="shared" si="6"/>
        <v>0</v>
      </c>
    </row>
    <row r="44" spans="1:7">
      <c r="A44" s="107">
        <v>43</v>
      </c>
      <c r="B44" s="110" t="s">
        <v>501</v>
      </c>
      <c r="C44" s="109">
        <v>4</v>
      </c>
      <c r="D44" s="109">
        <f t="shared" si="4"/>
        <v>7</v>
      </c>
      <c r="E44" s="109">
        <v>3</v>
      </c>
      <c r="F44" s="109">
        <f t="shared" si="5"/>
        <v>11</v>
      </c>
      <c r="G44" s="109">
        <f t="shared" si="6"/>
        <v>-4</v>
      </c>
    </row>
    <row r="45" spans="1:7">
      <c r="A45" s="107">
        <v>44</v>
      </c>
      <c r="B45" s="110" t="s">
        <v>471</v>
      </c>
      <c r="C45" s="109">
        <v>4</v>
      </c>
      <c r="D45" s="109">
        <f t="shared" si="4"/>
        <v>7</v>
      </c>
      <c r="E45" s="109">
        <v>2</v>
      </c>
      <c r="F45" s="109">
        <f t="shared" si="5"/>
        <v>7</v>
      </c>
      <c r="G45" s="109">
        <f t="shared" si="6"/>
        <v>0</v>
      </c>
    </row>
    <row r="46" spans="1:7">
      <c r="A46" s="107">
        <v>45</v>
      </c>
      <c r="B46" s="110" t="s">
        <v>572</v>
      </c>
      <c r="C46" s="109">
        <v>4</v>
      </c>
      <c r="D46" s="109">
        <f t="shared" si="4"/>
        <v>7</v>
      </c>
      <c r="E46" s="109">
        <v>2</v>
      </c>
      <c r="F46" s="109">
        <f t="shared" si="5"/>
        <v>7</v>
      </c>
      <c r="G46" s="109">
        <f t="shared" si="6"/>
        <v>0</v>
      </c>
    </row>
    <row r="47" spans="1:7">
      <c r="A47" s="107">
        <v>46</v>
      </c>
      <c r="B47" s="110" t="s">
        <v>573</v>
      </c>
      <c r="C47" s="109">
        <v>4</v>
      </c>
      <c r="D47" s="109">
        <f t="shared" si="4"/>
        <v>7</v>
      </c>
      <c r="E47" s="109">
        <v>2</v>
      </c>
      <c r="F47" s="109">
        <f t="shared" si="5"/>
        <v>7</v>
      </c>
      <c r="G47" s="109">
        <f t="shared" si="6"/>
        <v>0</v>
      </c>
    </row>
    <row r="48" spans="1:7">
      <c r="A48" s="107">
        <v>47</v>
      </c>
      <c r="B48" s="110" t="s">
        <v>574</v>
      </c>
      <c r="C48" s="109">
        <v>4</v>
      </c>
      <c r="D48" s="109">
        <f t="shared" si="4"/>
        <v>7</v>
      </c>
      <c r="E48" s="109">
        <v>2</v>
      </c>
      <c r="F48" s="109">
        <f t="shared" si="5"/>
        <v>7</v>
      </c>
      <c r="G48" s="109">
        <f t="shared" si="6"/>
        <v>0</v>
      </c>
    </row>
    <row r="49" spans="1:7">
      <c r="A49" s="107">
        <v>48</v>
      </c>
      <c r="B49" s="110" t="s">
        <v>575</v>
      </c>
      <c r="C49" s="109">
        <v>4</v>
      </c>
      <c r="D49" s="109">
        <f t="shared" si="4"/>
        <v>7</v>
      </c>
      <c r="E49" s="109">
        <v>2</v>
      </c>
      <c r="F49" s="109">
        <f t="shared" si="5"/>
        <v>7</v>
      </c>
      <c r="G49" s="109">
        <f t="shared" si="6"/>
        <v>0</v>
      </c>
    </row>
    <row r="50" spans="1:7">
      <c r="A50" s="107">
        <v>49</v>
      </c>
      <c r="B50" s="110" t="s">
        <v>576</v>
      </c>
      <c r="C50" s="109">
        <v>4</v>
      </c>
      <c r="D50" s="109">
        <f t="shared" si="4"/>
        <v>7</v>
      </c>
      <c r="E50" s="109">
        <v>2</v>
      </c>
      <c r="F50" s="109">
        <f t="shared" si="5"/>
        <v>7</v>
      </c>
      <c r="G50" s="109">
        <f t="shared" si="6"/>
        <v>0</v>
      </c>
    </row>
    <row r="51" spans="1:7">
      <c r="A51" s="107">
        <v>50</v>
      </c>
      <c r="B51" s="110" t="s">
        <v>577</v>
      </c>
      <c r="C51" s="109">
        <v>4</v>
      </c>
      <c r="D51" s="109">
        <f t="shared" si="4"/>
        <v>7</v>
      </c>
      <c r="E51" s="109">
        <v>0</v>
      </c>
      <c r="F51" s="109">
        <v>0</v>
      </c>
      <c r="G51" s="109">
        <f t="shared" si="6"/>
        <v>7</v>
      </c>
    </row>
    <row r="52" spans="1:7">
      <c r="A52" s="107">
        <v>51</v>
      </c>
      <c r="B52" s="110" t="s">
        <v>578</v>
      </c>
      <c r="C52" s="109">
        <v>12</v>
      </c>
      <c r="D52" s="109">
        <f t="shared" si="4"/>
        <v>23</v>
      </c>
      <c r="E52" s="109">
        <v>8</v>
      </c>
      <c r="F52" s="109">
        <f t="shared" si="5"/>
        <v>31</v>
      </c>
      <c r="G52" s="109">
        <f t="shared" si="6"/>
        <v>-8</v>
      </c>
    </row>
    <row r="53" spans="1:7">
      <c r="A53" s="107">
        <v>52</v>
      </c>
      <c r="B53" s="110" t="s">
        <v>439</v>
      </c>
      <c r="C53" s="109">
        <v>6</v>
      </c>
      <c r="D53" s="109">
        <f t="shared" si="4"/>
        <v>11</v>
      </c>
      <c r="E53" s="109">
        <v>2</v>
      </c>
      <c r="F53" s="109">
        <f t="shared" si="5"/>
        <v>7</v>
      </c>
      <c r="G53" s="109">
        <f t="shared" si="6"/>
        <v>4</v>
      </c>
    </row>
    <row r="54" spans="1:7">
      <c r="A54" s="107">
        <v>53</v>
      </c>
      <c r="B54" s="110" t="s">
        <v>579</v>
      </c>
      <c r="C54" s="109">
        <v>4</v>
      </c>
      <c r="D54" s="109">
        <f t="shared" si="4"/>
        <v>7</v>
      </c>
      <c r="E54" s="109">
        <v>2</v>
      </c>
      <c r="F54" s="109">
        <f t="shared" si="5"/>
        <v>7</v>
      </c>
      <c r="G54" s="109">
        <f t="shared" si="6"/>
        <v>0</v>
      </c>
    </row>
    <row r="55" spans="1:7">
      <c r="A55" s="107">
        <v>54</v>
      </c>
      <c r="B55" s="110" t="s">
        <v>580</v>
      </c>
      <c r="C55" s="109">
        <v>4</v>
      </c>
      <c r="D55" s="109">
        <f t="shared" si="4"/>
        <v>7</v>
      </c>
      <c r="E55" s="109">
        <v>2</v>
      </c>
      <c r="F55" s="109">
        <f t="shared" si="5"/>
        <v>7</v>
      </c>
      <c r="G55" s="109">
        <f t="shared" si="6"/>
        <v>0</v>
      </c>
    </row>
    <row r="56" spans="1:7">
      <c r="A56" s="107">
        <v>55</v>
      </c>
      <c r="B56" s="110" t="s">
        <v>444</v>
      </c>
      <c r="C56" s="109">
        <v>4</v>
      </c>
      <c r="D56" s="109">
        <f t="shared" si="4"/>
        <v>7</v>
      </c>
      <c r="E56" s="109">
        <v>1</v>
      </c>
      <c r="F56" s="109">
        <f t="shared" si="5"/>
        <v>3</v>
      </c>
      <c r="G56" s="109">
        <f t="shared" si="6"/>
        <v>4</v>
      </c>
    </row>
    <row r="57" spans="1:7">
      <c r="A57" s="107">
        <v>56</v>
      </c>
      <c r="B57" s="110" t="s">
        <v>581</v>
      </c>
      <c r="C57" s="109">
        <v>4</v>
      </c>
      <c r="D57" s="109">
        <f t="shared" si="4"/>
        <v>7</v>
      </c>
      <c r="E57" s="109">
        <v>0</v>
      </c>
      <c r="F57" s="109">
        <v>0</v>
      </c>
      <c r="G57" s="109">
        <f t="shared" si="6"/>
        <v>7</v>
      </c>
    </row>
    <row r="58" spans="1:7">
      <c r="A58" s="107">
        <v>57</v>
      </c>
      <c r="B58" s="110" t="s">
        <v>582</v>
      </c>
      <c r="C58" s="109">
        <v>4</v>
      </c>
      <c r="D58" s="109">
        <f t="shared" si="4"/>
        <v>7</v>
      </c>
      <c r="E58" s="109">
        <v>2</v>
      </c>
      <c r="F58" s="109">
        <f t="shared" si="5"/>
        <v>7</v>
      </c>
      <c r="G58" s="109">
        <f t="shared" si="6"/>
        <v>0</v>
      </c>
    </row>
    <row r="59" spans="1:7">
      <c r="A59" s="107">
        <v>58</v>
      </c>
      <c r="B59" s="110" t="s">
        <v>583</v>
      </c>
      <c r="C59" s="109">
        <v>4</v>
      </c>
      <c r="D59" s="109">
        <f t="shared" si="4"/>
        <v>7</v>
      </c>
      <c r="E59" s="109">
        <v>2</v>
      </c>
      <c r="F59" s="109">
        <f t="shared" si="5"/>
        <v>7</v>
      </c>
      <c r="G59" s="109">
        <f t="shared" si="6"/>
        <v>0</v>
      </c>
    </row>
    <row r="60" spans="1:7">
      <c r="A60" s="107">
        <v>59</v>
      </c>
      <c r="B60" s="110" t="s">
        <v>584</v>
      </c>
      <c r="C60" s="109">
        <v>4</v>
      </c>
      <c r="D60" s="109">
        <f t="shared" si="4"/>
        <v>7</v>
      </c>
      <c r="E60" s="109">
        <v>0</v>
      </c>
      <c r="F60" s="109">
        <v>0</v>
      </c>
      <c r="G60" s="109">
        <f t="shared" si="6"/>
        <v>7</v>
      </c>
    </row>
    <row r="61" spans="1:7">
      <c r="A61" s="107">
        <v>60</v>
      </c>
      <c r="B61" s="110" t="s">
        <v>455</v>
      </c>
      <c r="C61" s="109">
        <v>4</v>
      </c>
      <c r="D61" s="109">
        <f t="shared" si="4"/>
        <v>7</v>
      </c>
      <c r="E61" s="109">
        <v>2</v>
      </c>
      <c r="F61" s="109">
        <f t="shared" si="5"/>
        <v>7</v>
      </c>
      <c r="G61" s="109">
        <f t="shared" si="6"/>
        <v>0</v>
      </c>
    </row>
    <row r="62" spans="1:7">
      <c r="A62" s="107">
        <v>61</v>
      </c>
      <c r="B62" s="110" t="s">
        <v>585</v>
      </c>
      <c r="C62" s="109">
        <v>4</v>
      </c>
      <c r="D62" s="109">
        <f t="shared" si="4"/>
        <v>7</v>
      </c>
      <c r="E62" s="109">
        <v>2</v>
      </c>
      <c r="F62" s="109">
        <f t="shared" si="5"/>
        <v>7</v>
      </c>
      <c r="G62" s="109">
        <f t="shared" si="6"/>
        <v>0</v>
      </c>
    </row>
    <row r="63" spans="1:7">
      <c r="A63" s="107">
        <v>62</v>
      </c>
      <c r="B63" s="110" t="s">
        <v>586</v>
      </c>
      <c r="C63" s="109">
        <v>4</v>
      </c>
      <c r="D63" s="109">
        <f t="shared" si="4"/>
        <v>7</v>
      </c>
      <c r="E63" s="109">
        <v>3</v>
      </c>
      <c r="F63" s="109">
        <f t="shared" si="5"/>
        <v>11</v>
      </c>
      <c r="G63" s="109">
        <f t="shared" si="6"/>
        <v>-4</v>
      </c>
    </row>
    <row r="64" spans="1:7">
      <c r="A64" s="107">
        <v>63</v>
      </c>
      <c r="B64" s="110" t="s">
        <v>587</v>
      </c>
      <c r="C64" s="109">
        <v>6</v>
      </c>
      <c r="D64" s="109">
        <f t="shared" si="4"/>
        <v>11</v>
      </c>
      <c r="E64" s="109">
        <v>2</v>
      </c>
      <c r="F64" s="109">
        <f t="shared" si="5"/>
        <v>7</v>
      </c>
      <c r="G64" s="109">
        <f t="shared" si="6"/>
        <v>4</v>
      </c>
    </row>
    <row r="65" spans="1:7">
      <c r="A65" s="107">
        <v>64</v>
      </c>
      <c r="B65" s="110" t="s">
        <v>541</v>
      </c>
      <c r="C65" s="109">
        <v>6</v>
      </c>
      <c r="D65" s="109">
        <f t="shared" si="4"/>
        <v>11</v>
      </c>
      <c r="E65" s="109">
        <v>3</v>
      </c>
      <c r="F65" s="109">
        <f t="shared" si="5"/>
        <v>11</v>
      </c>
      <c r="G65" s="109">
        <f t="shared" si="6"/>
        <v>0</v>
      </c>
    </row>
    <row r="66" spans="1:7">
      <c r="A66" s="107">
        <v>65</v>
      </c>
      <c r="B66" s="110" t="s">
        <v>588</v>
      </c>
      <c r="C66" s="109">
        <v>4</v>
      </c>
      <c r="D66" s="109">
        <f t="shared" ref="D66:D82" si="7">C66*2-1</f>
        <v>7</v>
      </c>
      <c r="E66" s="109">
        <v>2</v>
      </c>
      <c r="F66" s="109">
        <f t="shared" ref="F66:F77" si="8">E66*4-1</f>
        <v>7</v>
      </c>
      <c r="G66" s="109">
        <f t="shared" ref="G66:G82" si="9">D66-F66</f>
        <v>0</v>
      </c>
    </row>
    <row r="67" spans="1:7">
      <c r="A67" s="107">
        <v>66</v>
      </c>
      <c r="B67" s="110" t="s">
        <v>488</v>
      </c>
      <c r="C67" s="109">
        <v>4</v>
      </c>
      <c r="D67" s="109">
        <f t="shared" si="7"/>
        <v>7</v>
      </c>
      <c r="E67" s="109">
        <v>2</v>
      </c>
      <c r="F67" s="109">
        <f t="shared" si="8"/>
        <v>7</v>
      </c>
      <c r="G67" s="109">
        <f t="shared" si="9"/>
        <v>0</v>
      </c>
    </row>
    <row r="68" spans="1:7">
      <c r="A68" s="107">
        <v>67</v>
      </c>
      <c r="B68" s="110" t="s">
        <v>589</v>
      </c>
      <c r="C68" s="109">
        <v>4</v>
      </c>
      <c r="D68" s="109">
        <f t="shared" si="7"/>
        <v>7</v>
      </c>
      <c r="E68" s="109">
        <v>2</v>
      </c>
      <c r="F68" s="109">
        <f t="shared" si="8"/>
        <v>7</v>
      </c>
      <c r="G68" s="109">
        <f t="shared" si="9"/>
        <v>0</v>
      </c>
    </row>
    <row r="69" spans="1:7">
      <c r="A69" s="107">
        <v>68</v>
      </c>
      <c r="B69" s="110" t="s">
        <v>590</v>
      </c>
      <c r="C69" s="109">
        <v>4</v>
      </c>
      <c r="D69" s="109">
        <f t="shared" si="7"/>
        <v>7</v>
      </c>
      <c r="E69" s="109">
        <v>0</v>
      </c>
      <c r="F69" s="109">
        <v>0</v>
      </c>
      <c r="G69" s="109">
        <f t="shared" si="9"/>
        <v>7</v>
      </c>
    </row>
    <row r="70" spans="1:7">
      <c r="A70" s="107">
        <v>69</v>
      </c>
      <c r="B70" s="110" t="s">
        <v>591</v>
      </c>
      <c r="C70" s="109">
        <v>4</v>
      </c>
      <c r="D70" s="109">
        <f t="shared" si="7"/>
        <v>7</v>
      </c>
      <c r="E70" s="109">
        <v>2</v>
      </c>
      <c r="F70" s="109">
        <f t="shared" si="8"/>
        <v>7</v>
      </c>
      <c r="G70" s="109">
        <f t="shared" si="9"/>
        <v>0</v>
      </c>
    </row>
    <row r="71" spans="1:7">
      <c r="A71" s="107">
        <v>70</v>
      </c>
      <c r="B71" s="110" t="s">
        <v>515</v>
      </c>
      <c r="C71" s="109">
        <v>4</v>
      </c>
      <c r="D71" s="109">
        <f t="shared" si="7"/>
        <v>7</v>
      </c>
      <c r="E71" s="109">
        <v>2</v>
      </c>
      <c r="F71" s="109">
        <f t="shared" si="8"/>
        <v>7</v>
      </c>
      <c r="G71" s="109">
        <f t="shared" si="9"/>
        <v>0</v>
      </c>
    </row>
    <row r="72" spans="1:7">
      <c r="A72" s="107">
        <v>71</v>
      </c>
      <c r="B72" s="110" t="s">
        <v>592</v>
      </c>
      <c r="C72" s="109">
        <v>4</v>
      </c>
      <c r="D72" s="109">
        <f t="shared" si="7"/>
        <v>7</v>
      </c>
      <c r="E72" s="109">
        <v>2</v>
      </c>
      <c r="F72" s="109">
        <f t="shared" si="8"/>
        <v>7</v>
      </c>
      <c r="G72" s="109">
        <f t="shared" si="9"/>
        <v>0</v>
      </c>
    </row>
    <row r="73" spans="1:7">
      <c r="A73" s="107">
        <v>72</v>
      </c>
      <c r="B73" s="110" t="s">
        <v>593</v>
      </c>
      <c r="C73" s="109">
        <v>4</v>
      </c>
      <c r="D73" s="109">
        <f t="shared" si="7"/>
        <v>7</v>
      </c>
      <c r="E73" s="109">
        <v>2</v>
      </c>
      <c r="F73" s="109">
        <f t="shared" si="8"/>
        <v>7</v>
      </c>
      <c r="G73" s="109">
        <f t="shared" si="9"/>
        <v>0</v>
      </c>
    </row>
    <row r="74" spans="1:7">
      <c r="A74" s="107">
        <v>73</v>
      </c>
      <c r="B74" s="110" t="s">
        <v>594</v>
      </c>
      <c r="C74" s="109">
        <v>4</v>
      </c>
      <c r="D74" s="109">
        <f t="shared" si="7"/>
        <v>7</v>
      </c>
      <c r="E74" s="109">
        <v>2</v>
      </c>
      <c r="F74" s="109">
        <f t="shared" si="8"/>
        <v>7</v>
      </c>
      <c r="G74" s="109">
        <f t="shared" si="9"/>
        <v>0</v>
      </c>
    </row>
    <row r="75" spans="1:7">
      <c r="A75" s="107">
        <v>74</v>
      </c>
      <c r="B75" s="110" t="s">
        <v>595</v>
      </c>
      <c r="C75" s="109">
        <v>4</v>
      </c>
      <c r="D75" s="109">
        <f t="shared" si="7"/>
        <v>7</v>
      </c>
      <c r="E75" s="109">
        <v>2</v>
      </c>
      <c r="F75" s="109">
        <f t="shared" si="8"/>
        <v>7</v>
      </c>
      <c r="G75" s="109">
        <f t="shared" si="9"/>
        <v>0</v>
      </c>
    </row>
    <row r="76" spans="1:7">
      <c r="A76" s="107">
        <v>75</v>
      </c>
      <c r="B76" s="110" t="s">
        <v>596</v>
      </c>
      <c r="C76" s="109">
        <v>4</v>
      </c>
      <c r="D76" s="109">
        <f t="shared" si="7"/>
        <v>7</v>
      </c>
      <c r="E76" s="109">
        <v>0</v>
      </c>
      <c r="F76" s="109">
        <v>0</v>
      </c>
      <c r="G76" s="109">
        <f t="shared" si="9"/>
        <v>7</v>
      </c>
    </row>
    <row r="77" spans="1:7">
      <c r="A77" s="107">
        <v>76</v>
      </c>
      <c r="B77" s="110" t="s">
        <v>597</v>
      </c>
      <c r="C77" s="109">
        <v>4</v>
      </c>
      <c r="D77" s="109">
        <f t="shared" si="7"/>
        <v>7</v>
      </c>
      <c r="E77" s="109">
        <v>2</v>
      </c>
      <c r="F77" s="109">
        <f t="shared" si="8"/>
        <v>7</v>
      </c>
      <c r="G77" s="109">
        <f t="shared" si="9"/>
        <v>0</v>
      </c>
    </row>
    <row r="78" spans="1:7">
      <c r="A78" s="107">
        <v>77</v>
      </c>
      <c r="B78" s="110" t="s">
        <v>598</v>
      </c>
      <c r="C78" s="109">
        <v>4</v>
      </c>
      <c r="D78" s="109">
        <f t="shared" si="7"/>
        <v>7</v>
      </c>
      <c r="E78" s="109">
        <v>0</v>
      </c>
      <c r="F78" s="109">
        <v>0</v>
      </c>
      <c r="G78" s="109">
        <f t="shared" si="9"/>
        <v>7</v>
      </c>
    </row>
    <row r="79" spans="1:7">
      <c r="A79" s="107">
        <v>78</v>
      </c>
      <c r="B79" s="110" t="s">
        <v>599</v>
      </c>
      <c r="C79" s="109">
        <v>4</v>
      </c>
      <c r="D79" s="109">
        <f t="shared" si="7"/>
        <v>7</v>
      </c>
      <c r="E79" s="109">
        <v>0</v>
      </c>
      <c r="F79" s="109">
        <v>0</v>
      </c>
      <c r="G79" s="109">
        <f t="shared" si="9"/>
        <v>7</v>
      </c>
    </row>
    <row r="80" spans="1:7">
      <c r="A80" s="107">
        <v>79</v>
      </c>
      <c r="B80" s="110" t="s">
        <v>600</v>
      </c>
      <c r="C80" s="126">
        <v>4</v>
      </c>
      <c r="D80" s="109">
        <f t="shared" si="7"/>
        <v>7</v>
      </c>
      <c r="E80" s="126">
        <v>0</v>
      </c>
      <c r="F80" s="109">
        <v>0</v>
      </c>
      <c r="G80" s="109">
        <f t="shared" si="9"/>
        <v>7</v>
      </c>
    </row>
    <row r="81" spans="1:7">
      <c r="A81" s="107">
        <v>80</v>
      </c>
      <c r="B81" s="110" t="s">
        <v>601</v>
      </c>
      <c r="C81" s="126">
        <v>4</v>
      </c>
      <c r="D81" s="109">
        <f t="shared" si="7"/>
        <v>7</v>
      </c>
      <c r="E81" s="126">
        <v>0</v>
      </c>
      <c r="F81" s="109">
        <v>0</v>
      </c>
      <c r="G81" s="109">
        <f t="shared" si="9"/>
        <v>7</v>
      </c>
    </row>
    <row r="82" spans="1:7">
      <c r="A82" s="107">
        <v>81</v>
      </c>
      <c r="B82" s="110" t="s">
        <v>602</v>
      </c>
      <c r="C82" s="126">
        <v>4</v>
      </c>
      <c r="D82" s="109">
        <f t="shared" si="7"/>
        <v>7</v>
      </c>
      <c r="E82" s="126">
        <v>2</v>
      </c>
      <c r="F82" s="109">
        <f>E82*4-1</f>
        <v>7</v>
      </c>
      <c r="G82" s="109">
        <f t="shared" si="9"/>
        <v>0</v>
      </c>
    </row>
    <row r="83" spans="1:7">
      <c r="A83" s="107">
        <v>82</v>
      </c>
      <c r="B83" s="110" t="s">
        <v>603</v>
      </c>
      <c r="C83" s="126">
        <v>0</v>
      </c>
      <c r="D83" s="109">
        <v>0</v>
      </c>
      <c r="E83" s="126">
        <f>VLOOKUP(B83,'800兆现状'!$C$2:$H$80,6,FALSE)</f>
        <v>1</v>
      </c>
      <c r="F83" s="109">
        <f t="shared" ref="F83:F88" si="10">E83*4-1</f>
        <v>3</v>
      </c>
      <c r="G83" s="109">
        <f t="shared" ref="G83:G88" si="11">D83-F83</f>
        <v>-3</v>
      </c>
    </row>
    <row r="84" spans="1:7">
      <c r="A84" s="107">
        <v>83</v>
      </c>
      <c r="B84" s="110" t="s">
        <v>604</v>
      </c>
      <c r="C84" s="126">
        <v>0</v>
      </c>
      <c r="D84" s="109">
        <v>0</v>
      </c>
      <c r="E84" s="126">
        <f>VLOOKUP(B84,'800兆现状'!$C$2:$H$80,6,FALSE)</f>
        <v>1</v>
      </c>
      <c r="F84" s="109">
        <f t="shared" si="10"/>
        <v>3</v>
      </c>
      <c r="G84" s="109">
        <f t="shared" si="11"/>
        <v>-3</v>
      </c>
    </row>
    <row r="85" spans="1:7">
      <c r="A85" s="107">
        <v>84</v>
      </c>
      <c r="B85" s="110" t="s">
        <v>605</v>
      </c>
      <c r="C85" s="126">
        <v>0</v>
      </c>
      <c r="D85" s="109">
        <v>0</v>
      </c>
      <c r="E85" s="126">
        <f>VLOOKUP(B85,'800兆现状'!$C$2:$H$80,6,FALSE)</f>
        <v>2</v>
      </c>
      <c r="F85" s="109">
        <f t="shared" si="10"/>
        <v>7</v>
      </c>
      <c r="G85" s="109">
        <f t="shared" si="11"/>
        <v>-7</v>
      </c>
    </row>
    <row r="86" spans="1:7">
      <c r="A86" s="107">
        <v>85</v>
      </c>
      <c r="B86" s="110" t="s">
        <v>606</v>
      </c>
      <c r="C86" s="126">
        <v>0</v>
      </c>
      <c r="D86" s="109">
        <v>0</v>
      </c>
      <c r="E86" s="126">
        <f>VLOOKUP(B86,'800兆现状'!$C$2:$H$80,6,FALSE)</f>
        <v>2</v>
      </c>
      <c r="F86" s="109">
        <f t="shared" si="10"/>
        <v>7</v>
      </c>
      <c r="G86" s="109">
        <f t="shared" si="11"/>
        <v>-7</v>
      </c>
    </row>
    <row r="87" spans="1:7">
      <c r="A87" s="107">
        <v>86</v>
      </c>
      <c r="B87" s="110" t="s">
        <v>607</v>
      </c>
      <c r="C87" s="126">
        <v>0</v>
      </c>
      <c r="D87" s="109">
        <v>0</v>
      </c>
      <c r="E87" s="126">
        <f>VLOOKUP(B87,'800兆现状'!$C$2:$H$80,6,FALSE)</f>
        <v>3</v>
      </c>
      <c r="F87" s="109">
        <f t="shared" si="10"/>
        <v>11</v>
      </c>
      <c r="G87" s="109">
        <f t="shared" si="11"/>
        <v>-11</v>
      </c>
    </row>
    <row r="88" spans="1:7">
      <c r="A88" s="107">
        <v>87</v>
      </c>
      <c r="B88" s="110" t="s">
        <v>608</v>
      </c>
      <c r="C88" s="126">
        <v>0</v>
      </c>
      <c r="D88" s="109">
        <v>0</v>
      </c>
      <c r="E88" s="126">
        <f>VLOOKUP(B88,'800兆现状'!$C$2:$H$80,6,FALSE)</f>
        <v>1</v>
      </c>
      <c r="F88" s="109">
        <f t="shared" si="10"/>
        <v>3</v>
      </c>
      <c r="G88" s="109">
        <f t="shared" si="11"/>
        <v>-3</v>
      </c>
    </row>
    <row r="89" spans="1:7">
      <c r="A89" s="127" t="s">
        <v>609</v>
      </c>
      <c r="B89" s="128"/>
      <c r="C89" s="109">
        <f>SUM(C2:C88)</f>
        <v>356</v>
      </c>
      <c r="D89" s="109">
        <f>SUM(D2:D88)</f>
        <v>631</v>
      </c>
      <c r="E89" s="109">
        <f>SUM(E2:E88)</f>
        <v>168</v>
      </c>
      <c r="F89" s="109">
        <f>SUM(F2:F88)</f>
        <v>596</v>
      </c>
      <c r="G89" s="109">
        <f>SUM(G2:G88)</f>
        <v>35</v>
      </c>
    </row>
  </sheetData>
  <autoFilter xmlns:etc="http://www.wps.cn/officeDocument/2017/etCustomData" ref="A1:G89" etc:filterBottomFollowUsedRange="0">
    <extLst/>
  </autoFilter>
  <mergeCells count="1">
    <mergeCell ref="A89:B89"/>
  </mergeCells>
  <conditionalFormatting sqref="B82">
    <cfRule type="duplicateValues" dxfId="0" priority="3"/>
  </conditionalFormatting>
  <conditionalFormatting sqref="B2:B29">
    <cfRule type="duplicateValues" dxfId="0" priority="1"/>
  </conditionalFormatting>
  <conditionalFormatting sqref="B30:B81">
    <cfRule type="duplicateValues" dxfId="0" priority="2"/>
  </conditionalFormatting>
  <conditionalFormatting sqref="B1 B90:B1048576">
    <cfRule type="duplicateValues" dxfId="0" priority="5"/>
  </conditionalFormatting>
  <pageMargins left="0.7" right="0.7" top="0.75" bottom="0.75" header="0.3" footer="0.3"/>
  <pageSetup paperSize="9" scale="8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view="pageBreakPreview" zoomScale="85" zoomScaleNormal="70" topLeftCell="A63" workbookViewId="0">
      <selection activeCell="K81" sqref="A80:K81"/>
    </sheetView>
  </sheetViews>
  <sheetFormatPr defaultColWidth="9" defaultRowHeight="13.5"/>
  <cols>
    <col min="2" max="2" width="34.2583333333333" customWidth="1"/>
    <col min="3" max="8" width="12.1333333333333" customWidth="1"/>
    <col min="9" max="10" width="12.5" customWidth="1"/>
    <col min="11" max="11" width="14.6333333333333" customWidth="1"/>
  </cols>
  <sheetData>
    <row r="1" ht="36" customHeight="1" spans="1:11">
      <c r="A1" s="111" t="s">
        <v>430</v>
      </c>
      <c r="B1" s="111" t="s">
        <v>431</v>
      </c>
      <c r="C1" s="112" t="s">
        <v>610</v>
      </c>
      <c r="D1" s="112" t="s">
        <v>611</v>
      </c>
      <c r="E1" s="112" t="s">
        <v>612</v>
      </c>
      <c r="F1" s="112" t="s">
        <v>613</v>
      </c>
      <c r="G1" s="112" t="s">
        <v>614</v>
      </c>
      <c r="H1" s="112" t="s">
        <v>615</v>
      </c>
      <c r="I1" s="111" t="s">
        <v>616</v>
      </c>
      <c r="J1" s="117" t="s">
        <v>617</v>
      </c>
      <c r="K1" s="117" t="s">
        <v>618</v>
      </c>
    </row>
    <row r="2" ht="18.95" customHeight="1" spans="1:11">
      <c r="A2" s="113">
        <v>1</v>
      </c>
      <c r="B2" s="114" t="s">
        <v>549</v>
      </c>
      <c r="C2" s="115">
        <v>4</v>
      </c>
      <c r="D2" s="115">
        <f>VLOOKUP(C2,爱尔兰及电费计算!$N$28:$O$32,2,)</f>
        <v>1200</v>
      </c>
      <c r="E2" s="115">
        <f>VLOOKUP(B2,'800兆现状'!$C$1:$H$80,6,FALSE)</f>
        <v>3</v>
      </c>
      <c r="F2" s="115">
        <f>VLOOKUP(E2,爱尔兰及电费计算!$N$27:$O$32,2,FALSE)</f>
        <v>950</v>
      </c>
      <c r="G2" s="115"/>
      <c r="H2" s="115">
        <f>(D2+F2+G2)*0.5</f>
        <v>1075</v>
      </c>
      <c r="I2" s="69" t="s">
        <v>619</v>
      </c>
      <c r="J2" s="69">
        <v>2.4</v>
      </c>
      <c r="K2" s="118">
        <f>J2/(H2/1000)</f>
        <v>2.23255813953488</v>
      </c>
    </row>
    <row r="3" ht="18.95" customHeight="1" spans="1:11">
      <c r="A3" s="113">
        <v>2</v>
      </c>
      <c r="B3" s="114" t="s">
        <v>550</v>
      </c>
      <c r="C3" s="115">
        <v>4</v>
      </c>
      <c r="D3" s="115">
        <f>VLOOKUP(C3,爱尔兰及电费计算!$N$28:$O$32,2,)</f>
        <v>1200</v>
      </c>
      <c r="E3" s="115">
        <f>VLOOKUP(B3,'800兆现状'!$C$1:$H$80,6,FALSE)</f>
        <v>3</v>
      </c>
      <c r="F3" s="115">
        <f>VLOOKUP(E3,爱尔兰及电费计算!$N$27:$O$32,2,FALSE)</f>
        <v>950</v>
      </c>
      <c r="G3" s="115"/>
      <c r="H3" s="115">
        <f t="shared" ref="H3:H34" si="0">(D3+F3+G3)*0.5</f>
        <v>1075</v>
      </c>
      <c r="I3" s="69" t="s">
        <v>620</v>
      </c>
      <c r="J3" s="69" t="s">
        <v>621</v>
      </c>
      <c r="K3" s="69">
        <v>2</v>
      </c>
    </row>
    <row r="4" ht="18.95" customHeight="1" spans="1:11">
      <c r="A4" s="113">
        <v>3</v>
      </c>
      <c r="B4" s="114" t="s">
        <v>551</v>
      </c>
      <c r="C4" s="115">
        <v>4</v>
      </c>
      <c r="D4" s="115">
        <f>VLOOKUP(C4,爱尔兰及电费计算!$N$28:$O$32,2,)</f>
        <v>1200</v>
      </c>
      <c r="E4" s="115">
        <f>VLOOKUP(B4,'800兆现状'!$C$1:$H$80,6,FALSE)</f>
        <v>2</v>
      </c>
      <c r="F4" s="115">
        <f>VLOOKUP(E4,爱尔兰及电费计算!$N$27:$O$32,2,FALSE)</f>
        <v>650</v>
      </c>
      <c r="G4" s="115"/>
      <c r="H4" s="115">
        <f t="shared" si="0"/>
        <v>925</v>
      </c>
      <c r="I4" s="69" t="s">
        <v>620</v>
      </c>
      <c r="J4" s="69" t="s">
        <v>621</v>
      </c>
      <c r="K4" s="69">
        <v>2</v>
      </c>
    </row>
    <row r="5" ht="18.95" customHeight="1" spans="1:11">
      <c r="A5" s="113">
        <v>4</v>
      </c>
      <c r="B5" s="114" t="s">
        <v>552</v>
      </c>
      <c r="C5" s="115">
        <v>4</v>
      </c>
      <c r="D5" s="115">
        <f>VLOOKUP(C5,爱尔兰及电费计算!$N$28:$O$32,2,)</f>
        <v>1200</v>
      </c>
      <c r="E5" s="115">
        <f>VLOOKUP(B5,'800兆现状'!$C$1:$H$80,6,FALSE)</f>
        <v>2</v>
      </c>
      <c r="F5" s="115">
        <f>VLOOKUP(E5,爱尔兰及电费计算!$N$27:$O$32,2,FALSE)</f>
        <v>650</v>
      </c>
      <c r="G5" s="115"/>
      <c r="H5" s="115">
        <f t="shared" si="0"/>
        <v>925</v>
      </c>
      <c r="I5" s="69" t="s">
        <v>620</v>
      </c>
      <c r="J5" s="69" t="s">
        <v>621</v>
      </c>
      <c r="K5" s="69">
        <v>2</v>
      </c>
    </row>
    <row r="6" ht="18.95" customHeight="1" spans="1:11">
      <c r="A6" s="113">
        <v>5</v>
      </c>
      <c r="B6" s="114" t="s">
        <v>553</v>
      </c>
      <c r="C6" s="115">
        <v>4</v>
      </c>
      <c r="D6" s="115">
        <f>VLOOKUP(C6,爱尔兰及电费计算!$N$28:$O$32,2,)</f>
        <v>1200</v>
      </c>
      <c r="E6" s="115">
        <f>VLOOKUP(B6,'800兆现状'!$C$1:$H$80,6,FALSE)</f>
        <v>2</v>
      </c>
      <c r="F6" s="115">
        <f>VLOOKUP(E6,爱尔兰及电费计算!$N$27:$O$32,2,FALSE)</f>
        <v>650</v>
      </c>
      <c r="G6" s="115"/>
      <c r="H6" s="115">
        <f t="shared" si="0"/>
        <v>925</v>
      </c>
      <c r="I6" s="69" t="s">
        <v>620</v>
      </c>
      <c r="J6" s="69" t="s">
        <v>621</v>
      </c>
      <c r="K6" s="69">
        <v>2</v>
      </c>
    </row>
    <row r="7" ht="18.95" customHeight="1" spans="1:11">
      <c r="A7" s="113">
        <v>6</v>
      </c>
      <c r="B7" s="114" t="s">
        <v>449</v>
      </c>
      <c r="C7" s="115">
        <v>4</v>
      </c>
      <c r="D7" s="115">
        <f>VLOOKUP(C7,爱尔兰及电费计算!$N$28:$O$32,2,)</f>
        <v>1200</v>
      </c>
      <c r="E7" s="115">
        <f>VLOOKUP(B7,'800兆现状'!$C$1:$H$80,6,FALSE)</f>
        <v>3</v>
      </c>
      <c r="F7" s="115">
        <f>VLOOKUP(E7,爱尔兰及电费计算!$N$27:$O$32,2,FALSE)</f>
        <v>950</v>
      </c>
      <c r="G7" s="115"/>
      <c r="H7" s="115">
        <f t="shared" si="0"/>
        <v>1075</v>
      </c>
      <c r="I7" s="69" t="s">
        <v>620</v>
      </c>
      <c r="J7" s="69">
        <v>3</v>
      </c>
      <c r="K7" s="118">
        <f>J7/(H7/1000)</f>
        <v>2.7906976744186</v>
      </c>
    </row>
    <row r="8" ht="18.95" customHeight="1" spans="1:11">
      <c r="A8" s="113">
        <v>7</v>
      </c>
      <c r="B8" s="114" t="s">
        <v>475</v>
      </c>
      <c r="C8" s="115">
        <v>6</v>
      </c>
      <c r="D8" s="115">
        <f>VLOOKUP(C8,爱尔兰及电费计算!$N$28:$O$32,2,)</f>
        <v>1600</v>
      </c>
      <c r="E8" s="115">
        <f>VLOOKUP(B8,'800兆现状'!$C$1:$H$80,6,FALSE)</f>
        <v>3</v>
      </c>
      <c r="F8" s="115">
        <f>VLOOKUP(E8,爱尔兰及电费计算!$N$27:$O$32,2,FALSE)</f>
        <v>950</v>
      </c>
      <c r="G8" s="115"/>
      <c r="H8" s="115">
        <f t="shared" si="0"/>
        <v>1275</v>
      </c>
      <c r="I8" s="69" t="s">
        <v>620</v>
      </c>
      <c r="J8" s="69">
        <v>3</v>
      </c>
      <c r="K8" s="118">
        <f>J8/(H8/1000)</f>
        <v>2.35294117647059</v>
      </c>
    </row>
    <row r="9" ht="18.95" customHeight="1" spans="1:11">
      <c r="A9" s="113">
        <v>8</v>
      </c>
      <c r="B9" s="116" t="s">
        <v>554</v>
      </c>
      <c r="C9" s="115">
        <v>6</v>
      </c>
      <c r="D9" s="115">
        <f>VLOOKUP(C9,爱尔兰及电费计算!$N$28:$O$32,2,)</f>
        <v>1600</v>
      </c>
      <c r="E9" s="115">
        <f>VLOOKUP(B9,'800兆现状'!$C$1:$H$80,6,FALSE)</f>
        <v>3</v>
      </c>
      <c r="F9" s="115">
        <f>VLOOKUP(E9,爱尔兰及电费计算!$N$27:$O$32,2,FALSE)</f>
        <v>950</v>
      </c>
      <c r="G9" s="115"/>
      <c r="H9" s="115">
        <f t="shared" si="0"/>
        <v>1275</v>
      </c>
      <c r="I9" s="69" t="s">
        <v>620</v>
      </c>
      <c r="J9" s="69" t="s">
        <v>621</v>
      </c>
      <c r="K9" s="69">
        <v>2</v>
      </c>
    </row>
    <row r="10" ht="18.95" customHeight="1" spans="1:11">
      <c r="A10" s="113">
        <v>9</v>
      </c>
      <c r="B10" s="114" t="s">
        <v>497</v>
      </c>
      <c r="C10" s="115">
        <v>8</v>
      </c>
      <c r="D10" s="115">
        <f>VLOOKUP(C10,爱尔兰及电费计算!$N$28:$O$32,2,)</f>
        <v>2000</v>
      </c>
      <c r="E10" s="115">
        <f>VLOOKUP(B10,'800兆现状'!$C$1:$H$80,6,FALSE)</f>
        <v>3</v>
      </c>
      <c r="F10" s="115">
        <f>VLOOKUP(E10,爱尔兰及电费计算!$N$27:$O$32,2,FALSE)</f>
        <v>950</v>
      </c>
      <c r="G10" s="115"/>
      <c r="H10" s="115">
        <f t="shared" si="0"/>
        <v>1475</v>
      </c>
      <c r="I10" s="69" t="s">
        <v>620</v>
      </c>
      <c r="J10" s="69">
        <v>3</v>
      </c>
      <c r="K10" s="118">
        <f>J10/(H10/1000)</f>
        <v>2.03389830508475</v>
      </c>
    </row>
    <row r="11" ht="18.95" customHeight="1" spans="1:11">
      <c r="A11" s="113">
        <v>10</v>
      </c>
      <c r="B11" s="114" t="s">
        <v>555</v>
      </c>
      <c r="C11" s="115">
        <v>6</v>
      </c>
      <c r="D11" s="115">
        <f>VLOOKUP(C11,爱尔兰及电费计算!$N$28:$O$32,2,)</f>
        <v>1600</v>
      </c>
      <c r="E11" s="115">
        <f>VLOOKUP(B11,'800兆现状'!$C$1:$H$80,6,FALSE)</f>
        <v>3</v>
      </c>
      <c r="F11" s="115">
        <f>VLOOKUP(E11,爱尔兰及电费计算!$N$27:$O$32,2,FALSE)</f>
        <v>950</v>
      </c>
      <c r="G11" s="115"/>
      <c r="H11" s="115">
        <f t="shared" si="0"/>
        <v>1275</v>
      </c>
      <c r="I11" s="69" t="s">
        <v>620</v>
      </c>
      <c r="J11" s="69" t="s">
        <v>621</v>
      </c>
      <c r="K11" s="69">
        <v>2</v>
      </c>
    </row>
    <row r="12" ht="18.95" customHeight="1" spans="1:11">
      <c r="A12" s="113">
        <v>11</v>
      </c>
      <c r="B12" s="114" t="s">
        <v>521</v>
      </c>
      <c r="C12" s="115">
        <v>6</v>
      </c>
      <c r="D12" s="115">
        <f>VLOOKUP(C12,爱尔兰及电费计算!$N$28:$O$32,2,)</f>
        <v>1600</v>
      </c>
      <c r="E12" s="115">
        <f>VLOOKUP(B12,'800兆现状'!$C$1:$H$80,6,FALSE)</f>
        <v>4</v>
      </c>
      <c r="F12" s="115">
        <f>VLOOKUP(E12,爱尔兰及电费计算!$N$27:$O$32,2,FALSE)</f>
        <v>1200</v>
      </c>
      <c r="G12" s="115"/>
      <c r="H12" s="115">
        <f t="shared" si="0"/>
        <v>1400</v>
      </c>
      <c r="I12" s="69" t="s">
        <v>620</v>
      </c>
      <c r="J12" s="69">
        <v>3</v>
      </c>
      <c r="K12" s="118">
        <f>J12/(H12/1000)</f>
        <v>2.14285714285714</v>
      </c>
    </row>
    <row r="13" ht="18.95" customHeight="1" spans="1:11">
      <c r="A13" s="113">
        <v>12</v>
      </c>
      <c r="B13" s="114" t="s">
        <v>461</v>
      </c>
      <c r="C13" s="115">
        <v>4</v>
      </c>
      <c r="D13" s="115">
        <f>VLOOKUP(C13,爱尔兰及电费计算!$N$28:$O$32,2,)</f>
        <v>1200</v>
      </c>
      <c r="E13" s="115">
        <f>VLOOKUP(B13,'800兆现状'!$C$1:$H$80,6,FALSE)</f>
        <v>2</v>
      </c>
      <c r="F13" s="115">
        <f>VLOOKUP(E13,爱尔兰及电费计算!$N$27:$O$32,2,FALSE)</f>
        <v>650</v>
      </c>
      <c r="G13" s="115"/>
      <c r="H13" s="115">
        <f t="shared" si="0"/>
        <v>925</v>
      </c>
      <c r="I13" s="69" t="s">
        <v>620</v>
      </c>
      <c r="J13" s="69">
        <v>3</v>
      </c>
      <c r="K13" s="118">
        <f>J13/(H13/1000)</f>
        <v>3.24324324324324</v>
      </c>
    </row>
    <row r="14" ht="18.95" customHeight="1" spans="1:11">
      <c r="A14" s="113">
        <v>13</v>
      </c>
      <c r="B14" s="114" t="s">
        <v>492</v>
      </c>
      <c r="C14" s="115">
        <v>4</v>
      </c>
      <c r="D14" s="115">
        <f>VLOOKUP(C14,爱尔兰及电费计算!$N$28:$O$32,2,)</f>
        <v>1200</v>
      </c>
      <c r="E14" s="115">
        <f>VLOOKUP(B14,'800兆现状'!$C$1:$H$80,6,FALSE)</f>
        <v>2</v>
      </c>
      <c r="F14" s="115">
        <f>VLOOKUP(E14,爱尔兰及电费计算!$N$27:$O$32,2,FALSE)</f>
        <v>650</v>
      </c>
      <c r="G14" s="115"/>
      <c r="H14" s="115">
        <f t="shared" si="0"/>
        <v>925</v>
      </c>
      <c r="I14" s="69" t="s">
        <v>620</v>
      </c>
      <c r="J14" s="69" t="s">
        <v>621</v>
      </c>
      <c r="K14" s="69">
        <v>2</v>
      </c>
    </row>
    <row r="15" ht="18.95" customHeight="1" spans="1:11">
      <c r="A15" s="113">
        <v>14</v>
      </c>
      <c r="B15" s="114" t="s">
        <v>512</v>
      </c>
      <c r="C15" s="115">
        <v>4</v>
      </c>
      <c r="D15" s="115">
        <f>VLOOKUP(C15,爱尔兰及电费计算!$N$28:$O$32,2,)</f>
        <v>1200</v>
      </c>
      <c r="E15" s="115">
        <f>VLOOKUP(B15,'800兆现状'!$C$1:$H$80,6,FALSE)</f>
        <v>2</v>
      </c>
      <c r="F15" s="115">
        <f>VLOOKUP(E15,爱尔兰及电费计算!$N$27:$O$32,2,FALSE)</f>
        <v>650</v>
      </c>
      <c r="G15" s="115"/>
      <c r="H15" s="115">
        <f t="shared" si="0"/>
        <v>925</v>
      </c>
      <c r="I15" s="69" t="s">
        <v>620</v>
      </c>
      <c r="J15" s="69" t="s">
        <v>621</v>
      </c>
      <c r="K15" s="69">
        <v>2</v>
      </c>
    </row>
    <row r="16" ht="18.95" customHeight="1" spans="1:11">
      <c r="A16" s="113">
        <v>15</v>
      </c>
      <c r="B16" s="114" t="s">
        <v>557</v>
      </c>
      <c r="C16" s="115">
        <v>4</v>
      </c>
      <c r="D16" s="115">
        <f>VLOOKUP(C16,爱尔兰及电费计算!$N$28:$O$32,2,)</f>
        <v>1200</v>
      </c>
      <c r="E16" s="115">
        <f>VLOOKUP(B16,'800兆现状'!$C$1:$H$80,6,FALSE)</f>
        <v>2</v>
      </c>
      <c r="F16" s="115">
        <f>VLOOKUP(E16,爱尔兰及电费计算!$N$27:$O$32,2,FALSE)</f>
        <v>650</v>
      </c>
      <c r="G16" s="115"/>
      <c r="H16" s="115">
        <f t="shared" si="0"/>
        <v>925</v>
      </c>
      <c r="I16" s="69" t="s">
        <v>620</v>
      </c>
      <c r="J16" s="69" t="s">
        <v>621</v>
      </c>
      <c r="K16" s="69">
        <v>2</v>
      </c>
    </row>
    <row r="17" ht="18.95" customHeight="1" spans="1:11">
      <c r="A17" s="113">
        <v>16</v>
      </c>
      <c r="B17" s="114" t="s">
        <v>525</v>
      </c>
      <c r="C17" s="115">
        <v>4</v>
      </c>
      <c r="D17" s="115">
        <f>VLOOKUP(C17,爱尔兰及电费计算!$N$28:$O$32,2,)</f>
        <v>1200</v>
      </c>
      <c r="E17" s="115">
        <f>VLOOKUP(B17,'800兆现状'!$C$1:$H$80,6,FALSE)</f>
        <v>2</v>
      </c>
      <c r="F17" s="115">
        <f>VLOOKUP(E17,爱尔兰及电费计算!$N$27:$O$32,2,FALSE)</f>
        <v>650</v>
      </c>
      <c r="G17" s="115"/>
      <c r="H17" s="115">
        <f t="shared" si="0"/>
        <v>925</v>
      </c>
      <c r="I17" s="69" t="s">
        <v>620</v>
      </c>
      <c r="J17" s="69" t="s">
        <v>621</v>
      </c>
      <c r="K17" s="69">
        <v>2</v>
      </c>
    </row>
    <row r="18" ht="18.95" customHeight="1" spans="1:11">
      <c r="A18" s="113">
        <v>17</v>
      </c>
      <c r="B18" s="114" t="s">
        <v>558</v>
      </c>
      <c r="C18" s="115">
        <v>4</v>
      </c>
      <c r="D18" s="115">
        <f>VLOOKUP(C18,爱尔兰及电费计算!$N$28:$O$32,2,)</f>
        <v>1200</v>
      </c>
      <c r="E18" s="115">
        <f>VLOOKUP(B18,'800兆现状'!$C$1:$H$80,6,FALSE)</f>
        <v>2</v>
      </c>
      <c r="F18" s="115">
        <f>VLOOKUP(E18,爱尔兰及电费计算!$N$27:$O$32,2,FALSE)</f>
        <v>650</v>
      </c>
      <c r="G18" s="115"/>
      <c r="H18" s="115">
        <f t="shared" si="0"/>
        <v>925</v>
      </c>
      <c r="I18" s="69" t="s">
        <v>620</v>
      </c>
      <c r="J18" s="69" t="s">
        <v>621</v>
      </c>
      <c r="K18" s="69">
        <v>2</v>
      </c>
    </row>
    <row r="19" ht="18.95" customHeight="1" spans="1:11">
      <c r="A19" s="113">
        <v>18</v>
      </c>
      <c r="B19" s="114" t="s">
        <v>527</v>
      </c>
      <c r="C19" s="115">
        <v>6</v>
      </c>
      <c r="D19" s="115">
        <f>VLOOKUP(C19,爱尔兰及电费计算!$N$28:$O$32,2,)</f>
        <v>1600</v>
      </c>
      <c r="E19" s="115">
        <f>VLOOKUP(B19,'800兆现状'!$C$1:$H$80,6,FALSE)</f>
        <v>3</v>
      </c>
      <c r="F19" s="115">
        <f>VLOOKUP(E19,爱尔兰及电费计算!$N$27:$O$32,2,FALSE)</f>
        <v>950</v>
      </c>
      <c r="G19" s="115"/>
      <c r="H19" s="115">
        <f t="shared" si="0"/>
        <v>1275</v>
      </c>
      <c r="I19" s="69" t="s">
        <v>620</v>
      </c>
      <c r="J19" s="69">
        <v>3</v>
      </c>
      <c r="K19" s="118">
        <f>J19/(H19/1000)</f>
        <v>2.35294117647059</v>
      </c>
    </row>
    <row r="20" ht="18.95" customHeight="1" spans="1:11">
      <c r="A20" s="113">
        <v>19</v>
      </c>
      <c r="B20" s="114" t="s">
        <v>505</v>
      </c>
      <c r="C20" s="115">
        <v>4</v>
      </c>
      <c r="D20" s="115">
        <f>VLOOKUP(C20,爱尔兰及电费计算!$N$28:$O$32,2,)</f>
        <v>1200</v>
      </c>
      <c r="E20" s="115">
        <f>VLOOKUP(B20,'800兆现状'!$C$1:$H$80,6,FALSE)</f>
        <v>2</v>
      </c>
      <c r="F20" s="115">
        <f>VLOOKUP(E20,爱尔兰及电费计算!$N$27:$O$32,2,FALSE)</f>
        <v>650</v>
      </c>
      <c r="G20" s="115"/>
      <c r="H20" s="115">
        <f t="shared" si="0"/>
        <v>925</v>
      </c>
      <c r="I20" s="69" t="s">
        <v>620</v>
      </c>
      <c r="J20" s="69" t="s">
        <v>621</v>
      </c>
      <c r="K20" s="69">
        <v>2</v>
      </c>
    </row>
    <row r="21" ht="18.95" customHeight="1" spans="1:11">
      <c r="A21" s="113">
        <v>20</v>
      </c>
      <c r="B21" s="114" t="s">
        <v>559</v>
      </c>
      <c r="C21" s="115">
        <v>6</v>
      </c>
      <c r="D21" s="115">
        <f>VLOOKUP(C21,爱尔兰及电费计算!$N$28:$O$32,2,)</f>
        <v>1600</v>
      </c>
      <c r="E21" s="115"/>
      <c r="F21" s="115" t="e">
        <f>VLOOKUP(E21,爱尔兰及电费计算!$N$27:$O$32,2,FALSE)</f>
        <v>#N/A</v>
      </c>
      <c r="G21" s="115"/>
      <c r="H21" s="115" t="e">
        <f t="shared" si="0"/>
        <v>#N/A</v>
      </c>
      <c r="I21" s="69" t="s">
        <v>620</v>
      </c>
      <c r="J21" s="69" t="s">
        <v>621</v>
      </c>
      <c r="K21" s="69">
        <v>2</v>
      </c>
    </row>
    <row r="22" ht="18.95" customHeight="1" spans="1:11">
      <c r="A22" s="113">
        <v>21</v>
      </c>
      <c r="B22" s="114" t="s">
        <v>560</v>
      </c>
      <c r="C22" s="115">
        <v>4</v>
      </c>
      <c r="D22" s="115">
        <f>VLOOKUP(C22,爱尔兰及电费计算!$N$28:$O$32,2,)</f>
        <v>1200</v>
      </c>
      <c r="E22" s="115">
        <f>VLOOKUP(B22,'800兆现状'!$C$1:$H$80,6,FALSE)</f>
        <v>1</v>
      </c>
      <c r="F22" s="115">
        <f>VLOOKUP(E22,爱尔兰及电费计算!$N$27:$O$32,2,FALSE)</f>
        <v>350</v>
      </c>
      <c r="G22" s="115"/>
      <c r="H22" s="115">
        <f t="shared" si="0"/>
        <v>775</v>
      </c>
      <c r="I22" s="69" t="s">
        <v>619</v>
      </c>
      <c r="J22" s="69">
        <v>2.4</v>
      </c>
      <c r="K22" s="118">
        <f>J22/(H22/1000)</f>
        <v>3.09677419354839</v>
      </c>
    </row>
    <row r="23" ht="18.95" customHeight="1" spans="1:11">
      <c r="A23" s="113">
        <v>22</v>
      </c>
      <c r="B23" s="114" t="s">
        <v>561</v>
      </c>
      <c r="C23" s="115">
        <v>4</v>
      </c>
      <c r="D23" s="115">
        <f>VLOOKUP(C23,爱尔兰及电费计算!$N$28:$O$32,2,)</f>
        <v>1200</v>
      </c>
      <c r="E23" s="115">
        <f>VLOOKUP(B23,'800兆现状'!$C$1:$H$80,6,FALSE)</f>
        <v>2</v>
      </c>
      <c r="F23" s="115">
        <f>VLOOKUP(E23,爱尔兰及电费计算!$N$27:$O$32,2,FALSE)</f>
        <v>650</v>
      </c>
      <c r="G23" s="115"/>
      <c r="H23" s="115">
        <f t="shared" si="0"/>
        <v>925</v>
      </c>
      <c r="I23" s="69" t="s">
        <v>620</v>
      </c>
      <c r="J23" s="69">
        <v>3</v>
      </c>
      <c r="K23" s="118">
        <f>J23/(H23/1000)</f>
        <v>3.24324324324324</v>
      </c>
    </row>
    <row r="24" ht="18.95" customHeight="1" spans="1:11">
      <c r="A24" s="113">
        <v>23</v>
      </c>
      <c r="B24" s="114" t="s">
        <v>562</v>
      </c>
      <c r="C24" s="115">
        <v>4</v>
      </c>
      <c r="D24" s="115">
        <f>VLOOKUP(C24,爱尔兰及电费计算!$N$28:$O$32,2,)</f>
        <v>1200</v>
      </c>
      <c r="E24" s="115">
        <f>VLOOKUP(B24,'800兆现状'!$C$1:$H$80,6,FALSE)</f>
        <v>2</v>
      </c>
      <c r="F24" s="115">
        <f>VLOOKUP(E24,爱尔兰及电费计算!$N$27:$O$32,2,FALSE)</f>
        <v>650</v>
      </c>
      <c r="G24" s="115"/>
      <c r="H24" s="115">
        <f t="shared" si="0"/>
        <v>925</v>
      </c>
      <c r="I24" s="69" t="s">
        <v>620</v>
      </c>
      <c r="J24" s="69">
        <v>3</v>
      </c>
      <c r="K24" s="118">
        <f>J24/(H24/1000)</f>
        <v>3.24324324324324</v>
      </c>
    </row>
    <row r="25" ht="18.95" customHeight="1" spans="1:11">
      <c r="A25" s="113">
        <v>24</v>
      </c>
      <c r="B25" s="114" t="s">
        <v>563</v>
      </c>
      <c r="C25" s="115">
        <v>4</v>
      </c>
      <c r="D25" s="115">
        <f>VLOOKUP(C25,爱尔兰及电费计算!$N$28:$O$32,2,)</f>
        <v>1200</v>
      </c>
      <c r="E25" s="115">
        <f>VLOOKUP(B25,'800兆现状'!$C$1:$H$80,6,FALSE)</f>
        <v>2</v>
      </c>
      <c r="F25" s="115">
        <f>VLOOKUP(E25,爱尔兰及电费计算!$N$27:$O$32,2,FALSE)</f>
        <v>650</v>
      </c>
      <c r="G25" s="115"/>
      <c r="H25" s="115">
        <f t="shared" si="0"/>
        <v>925</v>
      </c>
      <c r="I25" s="69" t="s">
        <v>620</v>
      </c>
      <c r="J25" s="69" t="s">
        <v>621</v>
      </c>
      <c r="K25" s="69">
        <v>2</v>
      </c>
    </row>
    <row r="26" ht="18.95" customHeight="1" spans="1:11">
      <c r="A26" s="113">
        <v>25</v>
      </c>
      <c r="B26" s="114" t="s">
        <v>487</v>
      </c>
      <c r="C26" s="115">
        <v>4</v>
      </c>
      <c r="D26" s="115">
        <f>VLOOKUP(C26,爱尔兰及电费计算!$N$28:$O$32,2,)</f>
        <v>1200</v>
      </c>
      <c r="E26" s="115">
        <f>VLOOKUP(B26,'800兆现状'!$C$1:$H$80,6,FALSE)</f>
        <v>3</v>
      </c>
      <c r="F26" s="115">
        <f>VLOOKUP(E26,爱尔兰及电费计算!$N$27:$O$32,2,FALSE)</f>
        <v>950</v>
      </c>
      <c r="G26" s="115"/>
      <c r="H26" s="115">
        <f t="shared" si="0"/>
        <v>1075</v>
      </c>
      <c r="I26" s="69" t="s">
        <v>620</v>
      </c>
      <c r="J26" s="69">
        <v>3</v>
      </c>
      <c r="K26" s="118">
        <f>J26/(H26/1000)</f>
        <v>2.7906976744186</v>
      </c>
    </row>
    <row r="27" ht="18.95" customHeight="1" spans="1:11">
      <c r="A27" s="113">
        <v>26</v>
      </c>
      <c r="B27" s="114" t="s">
        <v>509</v>
      </c>
      <c r="C27" s="115">
        <v>4</v>
      </c>
      <c r="D27" s="115">
        <f>VLOOKUP(C27,爱尔兰及电费计算!$N$28:$O$32,2,)</f>
        <v>1200</v>
      </c>
      <c r="E27" s="115">
        <f>VLOOKUP(B27,'800兆现状'!$C$1:$H$80,6,FALSE)</f>
        <v>2</v>
      </c>
      <c r="F27" s="115">
        <f>VLOOKUP(E27,爱尔兰及电费计算!$N$27:$O$32,2,FALSE)</f>
        <v>650</v>
      </c>
      <c r="G27" s="115"/>
      <c r="H27" s="115">
        <f t="shared" si="0"/>
        <v>925</v>
      </c>
      <c r="I27" s="69" t="s">
        <v>620</v>
      </c>
      <c r="J27" s="69">
        <v>3</v>
      </c>
      <c r="K27" s="118">
        <f>J27/(H27/1000)</f>
        <v>3.24324324324324</v>
      </c>
    </row>
    <row r="28" ht="18.95" customHeight="1" spans="1:11">
      <c r="A28" s="113">
        <v>27</v>
      </c>
      <c r="B28" s="114" t="s">
        <v>452</v>
      </c>
      <c r="C28" s="115">
        <v>6</v>
      </c>
      <c r="D28" s="115">
        <f>VLOOKUP(C28,爱尔兰及电费计算!$N$28:$O$32,2,)</f>
        <v>1600</v>
      </c>
      <c r="E28" s="115">
        <f>VLOOKUP(B28,'800兆现状'!$C$1:$H$80,6,FALSE)</f>
        <v>3</v>
      </c>
      <c r="F28" s="115">
        <f>VLOOKUP(E28,爱尔兰及电费计算!$N$27:$O$32,2,FALSE)</f>
        <v>950</v>
      </c>
      <c r="G28" s="115"/>
      <c r="H28" s="115">
        <f t="shared" si="0"/>
        <v>1275</v>
      </c>
      <c r="I28" s="69" t="s">
        <v>620</v>
      </c>
      <c r="J28" s="69">
        <v>3</v>
      </c>
      <c r="K28" s="118">
        <f>J28/(H28/1000)</f>
        <v>2.35294117647059</v>
      </c>
    </row>
    <row r="29" ht="18.95" customHeight="1" spans="1:11">
      <c r="A29" s="113">
        <v>28</v>
      </c>
      <c r="B29" s="116" t="s">
        <v>564</v>
      </c>
      <c r="C29" s="115">
        <v>4</v>
      </c>
      <c r="D29" s="115">
        <f>VLOOKUP(C29,爱尔兰及电费计算!$N$28:$O$32,2,)</f>
        <v>1200</v>
      </c>
      <c r="E29" s="115">
        <f>VLOOKUP(B29,'800兆现状'!$C$1:$H$80,6,FALSE)</f>
        <v>1</v>
      </c>
      <c r="F29" s="115">
        <f>VLOOKUP(E29,爱尔兰及电费计算!$N$27:$O$32,2,FALSE)</f>
        <v>350</v>
      </c>
      <c r="G29" s="115"/>
      <c r="H29" s="115">
        <f t="shared" si="0"/>
        <v>775</v>
      </c>
      <c r="I29" s="69" t="s">
        <v>620</v>
      </c>
      <c r="J29" s="69" t="s">
        <v>621</v>
      </c>
      <c r="K29" s="69">
        <v>2</v>
      </c>
    </row>
    <row r="30" ht="18.95" customHeight="1" spans="1:11">
      <c r="A30" s="113">
        <v>29</v>
      </c>
      <c r="B30" s="116" t="s">
        <v>565</v>
      </c>
      <c r="C30" s="115">
        <v>4</v>
      </c>
      <c r="D30" s="115">
        <f>VLOOKUP(C30,爱尔兰及电费计算!$N$28:$O$32,2,)</f>
        <v>1200</v>
      </c>
      <c r="E30" s="115">
        <f>VLOOKUP(B30,'800兆现状'!$C$1:$H$80,6,FALSE)</f>
        <v>2</v>
      </c>
      <c r="F30" s="115">
        <f>VLOOKUP(E30,爱尔兰及电费计算!$N$27:$O$32,2,FALSE)</f>
        <v>650</v>
      </c>
      <c r="G30" s="115"/>
      <c r="H30" s="115">
        <f t="shared" si="0"/>
        <v>925</v>
      </c>
      <c r="I30" s="69" t="s">
        <v>620</v>
      </c>
      <c r="J30" s="69" t="s">
        <v>621</v>
      </c>
      <c r="K30" s="69">
        <v>2</v>
      </c>
    </row>
    <row r="31" ht="18.95" customHeight="1" spans="1:11">
      <c r="A31" s="113">
        <v>30</v>
      </c>
      <c r="B31" s="116" t="s">
        <v>480</v>
      </c>
      <c r="C31" s="115">
        <v>4</v>
      </c>
      <c r="D31" s="115">
        <f>VLOOKUP(C31,爱尔兰及电费计算!$N$28:$O$32,2,)</f>
        <v>1200</v>
      </c>
      <c r="E31" s="115">
        <f>VLOOKUP(B31,'800兆现状'!$C$1:$H$80,6,FALSE)</f>
        <v>2</v>
      </c>
      <c r="F31" s="115">
        <f>VLOOKUP(E31,爱尔兰及电费计算!$N$27:$O$32,2,FALSE)</f>
        <v>650</v>
      </c>
      <c r="G31" s="115"/>
      <c r="H31" s="115">
        <f t="shared" si="0"/>
        <v>925</v>
      </c>
      <c r="I31" s="69" t="s">
        <v>620</v>
      </c>
      <c r="J31" s="69" t="s">
        <v>621</v>
      </c>
      <c r="K31" s="69">
        <v>2</v>
      </c>
    </row>
    <row r="32" ht="18.95" customHeight="1" spans="1:11">
      <c r="A32" s="113">
        <v>31</v>
      </c>
      <c r="B32" s="116" t="s">
        <v>566</v>
      </c>
      <c r="C32" s="115">
        <v>4</v>
      </c>
      <c r="D32" s="115">
        <f>VLOOKUP(C32,爱尔兰及电费计算!$N$28:$O$32,2,)</f>
        <v>1200</v>
      </c>
      <c r="E32" s="115">
        <f>VLOOKUP(B32,'800兆现状'!$C$1:$H$80,6,FALSE)</f>
        <v>2</v>
      </c>
      <c r="F32" s="115">
        <f>VLOOKUP(E32,爱尔兰及电费计算!$N$27:$O$32,2,FALSE)</f>
        <v>650</v>
      </c>
      <c r="G32" s="115"/>
      <c r="H32" s="115">
        <f t="shared" si="0"/>
        <v>925</v>
      </c>
      <c r="I32" s="69" t="s">
        <v>620</v>
      </c>
      <c r="J32" s="69" t="s">
        <v>621</v>
      </c>
      <c r="K32" s="69">
        <v>2</v>
      </c>
    </row>
    <row r="33" ht="18.95" customHeight="1" spans="1:11">
      <c r="A33" s="113">
        <v>32</v>
      </c>
      <c r="B33" s="116" t="s">
        <v>531</v>
      </c>
      <c r="C33" s="115">
        <v>4</v>
      </c>
      <c r="D33" s="115">
        <f>VLOOKUP(C33,爱尔兰及电费计算!$N$28:$O$32,2,)</f>
        <v>1200</v>
      </c>
      <c r="E33" s="115">
        <f>VLOOKUP(B33,'800兆现状'!$C$1:$H$80,6,FALSE)</f>
        <v>2</v>
      </c>
      <c r="F33" s="115">
        <f>VLOOKUP(E33,爱尔兰及电费计算!$N$27:$O$32,2,FALSE)</f>
        <v>650</v>
      </c>
      <c r="G33" s="115"/>
      <c r="H33" s="115">
        <f t="shared" si="0"/>
        <v>925</v>
      </c>
      <c r="I33" s="69" t="s">
        <v>619</v>
      </c>
      <c r="J33" s="69">
        <v>2.4</v>
      </c>
      <c r="K33" s="118">
        <f>J33/(H33/1000)</f>
        <v>2.59459459459459</v>
      </c>
    </row>
    <row r="34" ht="18.95" customHeight="1" spans="1:11">
      <c r="A34" s="113">
        <v>33</v>
      </c>
      <c r="B34" s="116" t="s">
        <v>567</v>
      </c>
      <c r="C34" s="115">
        <v>4</v>
      </c>
      <c r="D34" s="115">
        <f>VLOOKUP(C34,爱尔兰及电费计算!$N$28:$O$32,2,)</f>
        <v>1200</v>
      </c>
      <c r="E34" s="115">
        <f>VLOOKUP(B34,'800兆现状'!$C$1:$H$80,6,FALSE)</f>
        <v>2</v>
      </c>
      <c r="F34" s="115">
        <f>VLOOKUP(E34,爱尔兰及电费计算!$N$27:$O$32,2,FALSE)</f>
        <v>650</v>
      </c>
      <c r="G34" s="115"/>
      <c r="H34" s="115">
        <f t="shared" si="0"/>
        <v>925</v>
      </c>
      <c r="I34" s="69" t="s">
        <v>619</v>
      </c>
      <c r="J34" s="69">
        <v>3</v>
      </c>
      <c r="K34" s="118">
        <f>J34/(H34/1000)</f>
        <v>3.24324324324324</v>
      </c>
    </row>
    <row r="35" ht="18.95" customHeight="1" spans="1:11">
      <c r="A35" s="113">
        <v>34</v>
      </c>
      <c r="B35" s="116" t="s">
        <v>535</v>
      </c>
      <c r="C35" s="115">
        <v>4</v>
      </c>
      <c r="D35" s="115">
        <f>VLOOKUP(C35,爱尔兰及电费计算!$N$28:$O$32,2,)</f>
        <v>1200</v>
      </c>
      <c r="E35" s="115">
        <f>VLOOKUP(B35,'800兆现状'!$C$1:$H$80,6,FALSE)</f>
        <v>2</v>
      </c>
      <c r="F35" s="115">
        <f>VLOOKUP(E35,爱尔兰及电费计算!$N$27:$O$32,2,FALSE)</f>
        <v>650</v>
      </c>
      <c r="G35" s="115"/>
      <c r="H35" s="115">
        <f t="shared" ref="H35:H81" si="1">(D35+F35+G35)*0.5</f>
        <v>925</v>
      </c>
      <c r="I35" s="69" t="s">
        <v>619</v>
      </c>
      <c r="J35" s="69">
        <v>3</v>
      </c>
      <c r="K35" s="118">
        <f>J35/(H35/1000)</f>
        <v>3.24324324324324</v>
      </c>
    </row>
    <row r="36" ht="18.95" customHeight="1" spans="1:11">
      <c r="A36" s="113">
        <v>35</v>
      </c>
      <c r="B36" s="116" t="s">
        <v>466</v>
      </c>
      <c r="C36" s="115">
        <v>4</v>
      </c>
      <c r="D36" s="115">
        <f>VLOOKUP(C36,爱尔兰及电费计算!$N$28:$O$32,2,)</f>
        <v>1200</v>
      </c>
      <c r="E36" s="115">
        <f>VLOOKUP(B36,'800兆现状'!$C$1:$H$80,6,FALSE)</f>
        <v>2</v>
      </c>
      <c r="F36" s="115">
        <f>VLOOKUP(E36,爱尔兰及电费计算!$N$27:$O$32,2,FALSE)</f>
        <v>650</v>
      </c>
      <c r="G36" s="115"/>
      <c r="H36" s="115">
        <f t="shared" si="1"/>
        <v>925</v>
      </c>
      <c r="I36" s="69" t="s">
        <v>619</v>
      </c>
      <c r="J36" s="69">
        <v>3</v>
      </c>
      <c r="K36" s="118">
        <f>J36/(H36/1000)</f>
        <v>3.24324324324324</v>
      </c>
    </row>
    <row r="37" ht="18.95" customHeight="1" spans="1:11">
      <c r="A37" s="113">
        <v>36</v>
      </c>
      <c r="B37" s="116" t="s">
        <v>568</v>
      </c>
      <c r="C37" s="115">
        <v>4</v>
      </c>
      <c r="D37" s="115">
        <f>VLOOKUP(C37,爱尔兰及电费计算!$N$28:$O$32,2,)</f>
        <v>1200</v>
      </c>
      <c r="E37" s="115">
        <f>VLOOKUP(B37,'800兆现状'!$C$1:$H$80,6,FALSE)</f>
        <v>1</v>
      </c>
      <c r="F37" s="115">
        <f>VLOOKUP(E37,爱尔兰及电费计算!$N$27:$O$32,2,FALSE)</f>
        <v>350</v>
      </c>
      <c r="G37" s="115"/>
      <c r="H37" s="115">
        <f t="shared" si="1"/>
        <v>775</v>
      </c>
      <c r="I37" s="69" t="s">
        <v>620</v>
      </c>
      <c r="J37" s="69" t="s">
        <v>621</v>
      </c>
      <c r="K37" s="69">
        <v>2</v>
      </c>
    </row>
    <row r="38" ht="18.95" customHeight="1" spans="1:11">
      <c r="A38" s="113">
        <v>37</v>
      </c>
      <c r="B38" s="116" t="s">
        <v>538</v>
      </c>
      <c r="C38" s="115">
        <v>4</v>
      </c>
      <c r="D38" s="115">
        <f>VLOOKUP(C38,爱尔兰及电费计算!$N$28:$O$32,2,)</f>
        <v>1200</v>
      </c>
      <c r="E38" s="115">
        <f>VLOOKUP(B38,'800兆现状'!$C$1:$H$80,6,FALSE)</f>
        <v>3</v>
      </c>
      <c r="F38" s="115">
        <f>VLOOKUP(E38,爱尔兰及电费计算!$N$27:$O$32,2,FALSE)</f>
        <v>950</v>
      </c>
      <c r="G38" s="115"/>
      <c r="H38" s="115">
        <f t="shared" si="1"/>
        <v>1075</v>
      </c>
      <c r="I38" s="69" t="s">
        <v>619</v>
      </c>
      <c r="J38" s="69">
        <v>3</v>
      </c>
      <c r="K38" s="118">
        <f>J38/(H38/1000)</f>
        <v>2.7906976744186</v>
      </c>
    </row>
    <row r="39" ht="18.95" customHeight="1" spans="1:11">
      <c r="A39" s="113">
        <v>38</v>
      </c>
      <c r="B39" s="116" t="s">
        <v>569</v>
      </c>
      <c r="C39" s="115">
        <v>4</v>
      </c>
      <c r="D39" s="115">
        <f>VLOOKUP(C39,爱尔兰及电费计算!$N$28:$O$32,2,)</f>
        <v>1200</v>
      </c>
      <c r="E39" s="115">
        <f>VLOOKUP(B39,'800兆现状'!$C$1:$H$80,6,FALSE)</f>
        <v>2</v>
      </c>
      <c r="F39" s="115">
        <f>VLOOKUP(E39,爱尔兰及电费计算!$N$27:$O$32,2,FALSE)</f>
        <v>650</v>
      </c>
      <c r="G39" s="115"/>
      <c r="H39" s="115">
        <f t="shared" si="1"/>
        <v>925</v>
      </c>
      <c r="I39" s="69" t="s">
        <v>620</v>
      </c>
      <c r="J39" s="69" t="s">
        <v>621</v>
      </c>
      <c r="K39" s="69">
        <v>2</v>
      </c>
    </row>
    <row r="40" ht="18.95" customHeight="1" spans="1:11">
      <c r="A40" s="113">
        <v>39</v>
      </c>
      <c r="B40" s="116" t="s">
        <v>483</v>
      </c>
      <c r="C40" s="115">
        <v>4</v>
      </c>
      <c r="D40" s="115">
        <f>VLOOKUP(C40,爱尔兰及电费计算!$N$28:$O$32,2,)</f>
        <v>1200</v>
      </c>
      <c r="E40" s="115">
        <f>VLOOKUP(B40,'800兆现状'!$C$1:$H$80,6,FALSE)</f>
        <v>2</v>
      </c>
      <c r="F40" s="115">
        <f>VLOOKUP(E40,爱尔兰及电费计算!$N$27:$O$32,2,FALSE)</f>
        <v>650</v>
      </c>
      <c r="G40" s="115"/>
      <c r="H40" s="115">
        <f t="shared" si="1"/>
        <v>925</v>
      </c>
      <c r="I40" s="69" t="s">
        <v>620</v>
      </c>
      <c r="J40" s="69" t="s">
        <v>621</v>
      </c>
      <c r="K40" s="69">
        <v>2</v>
      </c>
    </row>
    <row r="41" ht="18.95" customHeight="1" spans="1:11">
      <c r="A41" s="113">
        <v>40</v>
      </c>
      <c r="B41" s="116" t="s">
        <v>570</v>
      </c>
      <c r="C41" s="115">
        <v>4</v>
      </c>
      <c r="D41" s="115">
        <f>VLOOKUP(C41,爱尔兰及电费计算!$N$28:$O$32,2,)</f>
        <v>1200</v>
      </c>
      <c r="E41" s="115"/>
      <c r="F41" s="115"/>
      <c r="G41" s="115"/>
      <c r="H41" s="115">
        <f t="shared" si="1"/>
        <v>600</v>
      </c>
      <c r="I41" s="69" t="s">
        <v>620</v>
      </c>
      <c r="J41" s="69" t="s">
        <v>621</v>
      </c>
      <c r="K41" s="69">
        <v>2</v>
      </c>
    </row>
    <row r="42" ht="18.95" customHeight="1" spans="1:11">
      <c r="A42" s="113">
        <v>41</v>
      </c>
      <c r="B42" s="116" t="s">
        <v>571</v>
      </c>
      <c r="C42" s="115">
        <v>4</v>
      </c>
      <c r="D42" s="115">
        <f>VLOOKUP(C42,爱尔兰及电费计算!$N$28:$O$32,2,)</f>
        <v>1200</v>
      </c>
      <c r="E42" s="115">
        <f>VLOOKUP(B42,'800兆现状'!$C$1:$H$80,6,FALSE)</f>
        <v>2</v>
      </c>
      <c r="F42" s="115">
        <f>VLOOKUP(E42,爱尔兰及电费计算!$N$27:$O$32,2,FALSE)</f>
        <v>650</v>
      </c>
      <c r="G42" s="115"/>
      <c r="H42" s="115">
        <f t="shared" si="1"/>
        <v>925</v>
      </c>
      <c r="I42" s="69" t="s">
        <v>620</v>
      </c>
      <c r="J42" s="69" t="s">
        <v>621</v>
      </c>
      <c r="K42" s="69">
        <v>2</v>
      </c>
    </row>
    <row r="43" ht="18.95" customHeight="1" spans="1:11">
      <c r="A43" s="113">
        <v>42</v>
      </c>
      <c r="B43" s="116" t="s">
        <v>501</v>
      </c>
      <c r="C43" s="115">
        <v>4</v>
      </c>
      <c r="D43" s="115">
        <f>VLOOKUP(C43,爱尔兰及电费计算!$N$28:$O$32,2,)</f>
        <v>1200</v>
      </c>
      <c r="E43" s="115">
        <f>VLOOKUP(B43,'800兆现状'!$C$1:$H$80,6,FALSE)</f>
        <v>3</v>
      </c>
      <c r="F43" s="115">
        <f>VLOOKUP(E43,爱尔兰及电费计算!$N$27:$O$32,2,FALSE)</f>
        <v>950</v>
      </c>
      <c r="G43" s="115"/>
      <c r="H43" s="115">
        <f t="shared" si="1"/>
        <v>1075</v>
      </c>
      <c r="I43" s="69" t="s">
        <v>619</v>
      </c>
      <c r="J43" s="69">
        <v>3</v>
      </c>
      <c r="K43" s="118">
        <f>J43/(H43/1000)</f>
        <v>2.7906976744186</v>
      </c>
    </row>
    <row r="44" ht="18.95" customHeight="1" spans="1:11">
      <c r="A44" s="113">
        <v>43</v>
      </c>
      <c r="B44" s="116" t="s">
        <v>471</v>
      </c>
      <c r="C44" s="115">
        <v>4</v>
      </c>
      <c r="D44" s="115">
        <f>VLOOKUP(C44,爱尔兰及电费计算!$N$28:$O$32,2,)</f>
        <v>1200</v>
      </c>
      <c r="E44" s="115">
        <f>VLOOKUP(B44,'800兆现状'!$C$1:$H$80,6,FALSE)</f>
        <v>2</v>
      </c>
      <c r="F44" s="115">
        <f>VLOOKUP(E44,爱尔兰及电费计算!$N$27:$O$32,2,FALSE)</f>
        <v>650</v>
      </c>
      <c r="G44" s="115"/>
      <c r="H44" s="115">
        <f t="shared" si="1"/>
        <v>925</v>
      </c>
      <c r="I44" s="69" t="s">
        <v>619</v>
      </c>
      <c r="J44" s="69">
        <v>3</v>
      </c>
      <c r="K44" s="118">
        <f>J44/(H44/1000)</f>
        <v>3.24324324324324</v>
      </c>
    </row>
    <row r="45" ht="18.95" customHeight="1" spans="1:11">
      <c r="A45" s="113">
        <v>44</v>
      </c>
      <c r="B45" s="116" t="s">
        <v>572</v>
      </c>
      <c r="C45" s="115">
        <v>4</v>
      </c>
      <c r="D45" s="115">
        <f>VLOOKUP(C45,爱尔兰及电费计算!$N$28:$O$32,2,)</f>
        <v>1200</v>
      </c>
      <c r="E45" s="115">
        <f>VLOOKUP(B45,'800兆现状'!$C$1:$H$80,6,FALSE)</f>
        <v>2</v>
      </c>
      <c r="F45" s="115">
        <f>VLOOKUP(E45,爱尔兰及电费计算!$N$27:$O$32,2,FALSE)</f>
        <v>650</v>
      </c>
      <c r="G45" s="115"/>
      <c r="H45" s="115">
        <f t="shared" si="1"/>
        <v>925</v>
      </c>
      <c r="I45" s="69" t="s">
        <v>620</v>
      </c>
      <c r="J45" s="69" t="s">
        <v>621</v>
      </c>
      <c r="K45" s="69">
        <v>2</v>
      </c>
    </row>
    <row r="46" ht="18.95" customHeight="1" spans="1:11">
      <c r="A46" s="113">
        <v>45</v>
      </c>
      <c r="B46" s="116" t="s">
        <v>573</v>
      </c>
      <c r="C46" s="115">
        <v>4</v>
      </c>
      <c r="D46" s="115">
        <f>VLOOKUP(C46,爱尔兰及电费计算!$N$28:$O$32,2,)</f>
        <v>1200</v>
      </c>
      <c r="E46" s="115">
        <f>VLOOKUP(B46,'800兆现状'!$C$1:$H$80,6,FALSE)</f>
        <v>2</v>
      </c>
      <c r="F46" s="115">
        <f>VLOOKUP(E46,爱尔兰及电费计算!$N$27:$O$32,2,FALSE)</f>
        <v>650</v>
      </c>
      <c r="G46" s="115"/>
      <c r="H46" s="115">
        <f t="shared" si="1"/>
        <v>925</v>
      </c>
      <c r="I46" s="69" t="s">
        <v>620</v>
      </c>
      <c r="J46" s="69" t="s">
        <v>621</v>
      </c>
      <c r="K46" s="69">
        <v>2</v>
      </c>
    </row>
    <row r="47" ht="18.95" customHeight="1" spans="1:11">
      <c r="A47" s="113">
        <v>46</v>
      </c>
      <c r="B47" s="116" t="s">
        <v>574</v>
      </c>
      <c r="C47" s="115">
        <v>4</v>
      </c>
      <c r="D47" s="115">
        <f>VLOOKUP(C47,爱尔兰及电费计算!$N$28:$O$32,2,)</f>
        <v>1200</v>
      </c>
      <c r="E47" s="115">
        <f>VLOOKUP(B47,'800兆现状'!$C$1:$H$80,6,FALSE)</f>
        <v>2</v>
      </c>
      <c r="F47" s="115">
        <f>VLOOKUP(E47,爱尔兰及电费计算!$N$27:$O$32,2,FALSE)</f>
        <v>650</v>
      </c>
      <c r="G47" s="115"/>
      <c r="H47" s="115">
        <f t="shared" si="1"/>
        <v>925</v>
      </c>
      <c r="I47" s="69" t="s">
        <v>619</v>
      </c>
      <c r="J47" s="69">
        <v>2.4</v>
      </c>
      <c r="K47" s="118">
        <f>J47/(H47/1000)</f>
        <v>2.59459459459459</v>
      </c>
    </row>
    <row r="48" ht="18.95" customHeight="1" spans="1:11">
      <c r="A48" s="113">
        <v>47</v>
      </c>
      <c r="B48" s="116" t="s">
        <v>575</v>
      </c>
      <c r="C48" s="115">
        <v>4</v>
      </c>
      <c r="D48" s="115">
        <f>VLOOKUP(C48,爱尔兰及电费计算!$N$28:$O$32,2,)</f>
        <v>1200</v>
      </c>
      <c r="E48" s="115">
        <f>VLOOKUP(B48,'800兆现状'!$C$1:$H$80,6,FALSE)</f>
        <v>2</v>
      </c>
      <c r="F48" s="115">
        <f>VLOOKUP(E48,爱尔兰及电费计算!$N$27:$O$32,2,FALSE)</f>
        <v>650</v>
      </c>
      <c r="G48" s="115"/>
      <c r="H48" s="115">
        <f t="shared" si="1"/>
        <v>925</v>
      </c>
      <c r="I48" s="69" t="s">
        <v>619</v>
      </c>
      <c r="J48" s="69">
        <v>2.4</v>
      </c>
      <c r="K48" s="118">
        <f>J48/(H48/1000)</f>
        <v>2.59459459459459</v>
      </c>
    </row>
    <row r="49" ht="18.95" customHeight="1" spans="1:11">
      <c r="A49" s="113">
        <v>48</v>
      </c>
      <c r="B49" s="116" t="s">
        <v>576</v>
      </c>
      <c r="C49" s="115">
        <v>4</v>
      </c>
      <c r="D49" s="115">
        <f>VLOOKUP(C49,爱尔兰及电费计算!$N$28:$O$32,2,)</f>
        <v>1200</v>
      </c>
      <c r="E49" s="115">
        <f>VLOOKUP(B49,'800兆现状'!$C$1:$H$80,6,FALSE)</f>
        <v>2</v>
      </c>
      <c r="F49" s="115">
        <f>VLOOKUP(E49,爱尔兰及电费计算!$N$27:$O$32,2,FALSE)</f>
        <v>650</v>
      </c>
      <c r="G49" s="115"/>
      <c r="H49" s="115">
        <f t="shared" si="1"/>
        <v>925</v>
      </c>
      <c r="I49" s="69" t="s">
        <v>620</v>
      </c>
      <c r="J49" s="69" t="s">
        <v>621</v>
      </c>
      <c r="K49" s="69">
        <v>2</v>
      </c>
    </row>
    <row r="50" ht="18.95" customHeight="1" spans="1:11">
      <c r="A50" s="113">
        <v>49</v>
      </c>
      <c r="B50" s="116" t="s">
        <v>577</v>
      </c>
      <c r="C50" s="115">
        <v>4</v>
      </c>
      <c r="D50" s="115">
        <f>VLOOKUP(C50,爱尔兰及电费计算!$N$28:$O$32,2,)</f>
        <v>1200</v>
      </c>
      <c r="E50" s="115"/>
      <c r="F50" s="115"/>
      <c r="G50" s="115"/>
      <c r="H50" s="115">
        <f t="shared" si="1"/>
        <v>600</v>
      </c>
      <c r="I50" s="69" t="s">
        <v>619</v>
      </c>
      <c r="J50" s="69">
        <v>2.4</v>
      </c>
      <c r="K50" s="118">
        <f>J50/(H50/1000)</f>
        <v>4</v>
      </c>
    </row>
    <row r="51" ht="18.95" customHeight="1" spans="1:11">
      <c r="A51" s="113">
        <v>50</v>
      </c>
      <c r="B51" s="116" t="s">
        <v>439</v>
      </c>
      <c r="C51" s="115">
        <v>6</v>
      </c>
      <c r="D51" s="115">
        <f>VLOOKUP(C51,爱尔兰及电费计算!$N$28:$O$32,2,)</f>
        <v>1600</v>
      </c>
      <c r="E51" s="115">
        <f>VLOOKUP(B51,'800兆现状'!$C$1:$H$80,6,FALSE)</f>
        <v>2</v>
      </c>
      <c r="F51" s="115">
        <f>VLOOKUP(E51,爱尔兰及电费计算!$N$27:$O$32,2,FALSE)</f>
        <v>650</v>
      </c>
      <c r="G51" s="115"/>
      <c r="H51" s="115">
        <f t="shared" si="1"/>
        <v>1125</v>
      </c>
      <c r="I51" s="69" t="s">
        <v>619</v>
      </c>
      <c r="J51" s="69">
        <v>3</v>
      </c>
      <c r="K51" s="118">
        <f>J51/(H51/1000)</f>
        <v>2.66666666666667</v>
      </c>
    </row>
    <row r="52" ht="18.95" customHeight="1" spans="1:11">
      <c r="A52" s="113">
        <v>51</v>
      </c>
      <c r="B52" s="116" t="s">
        <v>579</v>
      </c>
      <c r="C52" s="115">
        <v>4</v>
      </c>
      <c r="D52" s="115">
        <f>VLOOKUP(C52,爱尔兰及电费计算!$N$28:$O$32,2,)</f>
        <v>1200</v>
      </c>
      <c r="E52" s="115">
        <f>VLOOKUP(B52,'800兆现状'!$C$1:$H$80,6,FALSE)</f>
        <v>1</v>
      </c>
      <c r="F52" s="115">
        <f>VLOOKUP(E52,爱尔兰及电费计算!$N$27:$O$32,2,FALSE)</f>
        <v>350</v>
      </c>
      <c r="G52" s="115"/>
      <c r="H52" s="115">
        <f t="shared" si="1"/>
        <v>775</v>
      </c>
      <c r="I52" s="69" t="s">
        <v>620</v>
      </c>
      <c r="J52" s="69" t="s">
        <v>621</v>
      </c>
      <c r="K52" s="69">
        <v>2</v>
      </c>
    </row>
    <row r="53" ht="18.95" customHeight="1" spans="1:11">
      <c r="A53" s="113">
        <v>52</v>
      </c>
      <c r="B53" s="116" t="s">
        <v>580</v>
      </c>
      <c r="C53" s="115">
        <v>4</v>
      </c>
      <c r="D53" s="115">
        <f>VLOOKUP(C53,爱尔兰及电费计算!$N$28:$O$32,2,)</f>
        <v>1200</v>
      </c>
      <c r="E53" s="115">
        <f>VLOOKUP(B53,'800兆现状'!$C$1:$H$80,6,FALSE)</f>
        <v>2</v>
      </c>
      <c r="F53" s="115">
        <f>VLOOKUP(E53,爱尔兰及电费计算!$N$27:$O$32,2,FALSE)</f>
        <v>650</v>
      </c>
      <c r="G53" s="115"/>
      <c r="H53" s="115">
        <f t="shared" si="1"/>
        <v>925</v>
      </c>
      <c r="I53" s="69" t="s">
        <v>619</v>
      </c>
      <c r="J53" s="69">
        <v>3</v>
      </c>
      <c r="K53" s="118">
        <f>J53/(H53/1000)</f>
        <v>3.24324324324324</v>
      </c>
    </row>
    <row r="54" ht="18.95" customHeight="1" spans="1:11">
      <c r="A54" s="113">
        <v>53</v>
      </c>
      <c r="B54" s="116" t="s">
        <v>444</v>
      </c>
      <c r="C54" s="115">
        <v>4</v>
      </c>
      <c r="D54" s="115">
        <f>VLOOKUP(C54,爱尔兰及电费计算!$N$28:$O$32,2,)</f>
        <v>1200</v>
      </c>
      <c r="E54" s="115">
        <f>VLOOKUP(B54,'800兆现状'!$C$1:$H$80,6,FALSE)</f>
        <v>1</v>
      </c>
      <c r="F54" s="115">
        <f>VLOOKUP(E54,爱尔兰及电费计算!$N$27:$O$32,2,FALSE)</f>
        <v>350</v>
      </c>
      <c r="G54" s="115"/>
      <c r="H54" s="115">
        <f t="shared" si="1"/>
        <v>775</v>
      </c>
      <c r="I54" s="69" t="s">
        <v>620</v>
      </c>
      <c r="J54" s="69" t="s">
        <v>621</v>
      </c>
      <c r="K54" s="69">
        <v>2</v>
      </c>
    </row>
    <row r="55" ht="18.95" customHeight="1" spans="1:11">
      <c r="A55" s="113">
        <v>54</v>
      </c>
      <c r="B55" s="116" t="s">
        <v>581</v>
      </c>
      <c r="C55" s="115">
        <v>4</v>
      </c>
      <c r="D55" s="115">
        <f>VLOOKUP(C55,爱尔兰及电费计算!$N$28:$O$32,2,)</f>
        <v>1200</v>
      </c>
      <c r="E55" s="115">
        <f>VLOOKUP(B55,'800兆现状'!$C$1:$H$80,6,FALSE)</f>
        <v>1</v>
      </c>
      <c r="F55" s="115">
        <f>VLOOKUP(E55,爱尔兰及电费计算!$N$27:$O$32,2,FALSE)</f>
        <v>350</v>
      </c>
      <c r="G55" s="115"/>
      <c r="H55" s="115">
        <f t="shared" si="1"/>
        <v>775</v>
      </c>
      <c r="I55" s="69" t="s">
        <v>620</v>
      </c>
      <c r="J55" s="69" t="s">
        <v>621</v>
      </c>
      <c r="K55" s="69">
        <v>2</v>
      </c>
    </row>
    <row r="56" ht="18.95" customHeight="1" spans="1:11">
      <c r="A56" s="113">
        <v>55</v>
      </c>
      <c r="B56" s="116" t="s">
        <v>582</v>
      </c>
      <c r="C56" s="115">
        <v>4</v>
      </c>
      <c r="D56" s="115">
        <f>VLOOKUP(C56,爱尔兰及电费计算!$N$28:$O$32,2,)</f>
        <v>1200</v>
      </c>
      <c r="E56" s="115">
        <f>VLOOKUP(B56,'800兆现状'!$C$1:$H$80,6,FALSE)</f>
        <v>2</v>
      </c>
      <c r="F56" s="115">
        <f>VLOOKUP(E56,爱尔兰及电费计算!$N$27:$O$32,2,FALSE)</f>
        <v>650</v>
      </c>
      <c r="G56" s="115"/>
      <c r="H56" s="115">
        <f t="shared" si="1"/>
        <v>925</v>
      </c>
      <c r="I56" s="69" t="s">
        <v>620</v>
      </c>
      <c r="J56" s="69" t="s">
        <v>621</v>
      </c>
      <c r="K56" s="69">
        <v>2</v>
      </c>
    </row>
    <row r="57" ht="18.95" customHeight="1" spans="1:11">
      <c r="A57" s="113">
        <v>56</v>
      </c>
      <c r="B57" s="116" t="s">
        <v>583</v>
      </c>
      <c r="C57" s="115">
        <v>4</v>
      </c>
      <c r="D57" s="115">
        <f>VLOOKUP(C57,爱尔兰及电费计算!$N$28:$O$32,2,)</f>
        <v>1200</v>
      </c>
      <c r="E57" s="115">
        <f>VLOOKUP(B57,'800兆现状'!$C$1:$H$80,6,FALSE)</f>
        <v>2</v>
      </c>
      <c r="F57" s="115">
        <f>VLOOKUP(E57,爱尔兰及电费计算!$N$27:$O$32,2,FALSE)</f>
        <v>650</v>
      </c>
      <c r="G57" s="115"/>
      <c r="H57" s="115">
        <f t="shared" si="1"/>
        <v>925</v>
      </c>
      <c r="I57" s="69" t="s">
        <v>619</v>
      </c>
      <c r="J57" s="69">
        <v>3</v>
      </c>
      <c r="K57" s="118">
        <f>J57/(H57/1000)</f>
        <v>3.24324324324324</v>
      </c>
    </row>
    <row r="58" ht="18.95" customHeight="1" spans="1:11">
      <c r="A58" s="113">
        <v>57</v>
      </c>
      <c r="B58" s="116" t="s">
        <v>584</v>
      </c>
      <c r="C58" s="115">
        <v>4</v>
      </c>
      <c r="D58" s="115">
        <f>VLOOKUP(C58,爱尔兰及电费计算!$N$28:$O$32,2,)</f>
        <v>1200</v>
      </c>
      <c r="E58" s="115"/>
      <c r="F58" s="115"/>
      <c r="G58" s="115"/>
      <c r="H58" s="115">
        <f t="shared" si="1"/>
        <v>600</v>
      </c>
      <c r="I58" s="69" t="s">
        <v>619</v>
      </c>
      <c r="J58" s="69">
        <v>2.4</v>
      </c>
      <c r="K58" s="118">
        <f>J58/(H58/1000)</f>
        <v>4</v>
      </c>
    </row>
    <row r="59" ht="18.95" customHeight="1" spans="1:11">
      <c r="A59" s="113">
        <v>58</v>
      </c>
      <c r="B59" s="116" t="s">
        <v>455</v>
      </c>
      <c r="C59" s="115">
        <v>4</v>
      </c>
      <c r="D59" s="115">
        <f>VLOOKUP(C59,爱尔兰及电费计算!$N$28:$O$32,2,)</f>
        <v>1200</v>
      </c>
      <c r="E59" s="115">
        <f>VLOOKUP(B59,'800兆现状'!$C$1:$H$80,6,FALSE)</f>
        <v>2</v>
      </c>
      <c r="F59" s="115">
        <f>VLOOKUP(E59,爱尔兰及电费计算!$N$27:$O$32,2,FALSE)</f>
        <v>650</v>
      </c>
      <c r="G59" s="115"/>
      <c r="H59" s="115">
        <f t="shared" si="1"/>
        <v>925</v>
      </c>
      <c r="I59" s="69" t="s">
        <v>619</v>
      </c>
      <c r="J59" s="69">
        <v>3</v>
      </c>
      <c r="K59" s="118">
        <f>J59/(H59/1000)</f>
        <v>3.24324324324324</v>
      </c>
    </row>
    <row r="60" ht="18.95" customHeight="1" spans="1:11">
      <c r="A60" s="113">
        <v>59</v>
      </c>
      <c r="B60" s="116" t="s">
        <v>585</v>
      </c>
      <c r="C60" s="115">
        <v>4</v>
      </c>
      <c r="D60" s="115">
        <f>VLOOKUP(C60,爱尔兰及电费计算!$N$28:$O$32,2,)</f>
        <v>1200</v>
      </c>
      <c r="E60" s="115">
        <f>VLOOKUP(B60,'800兆现状'!$C$1:$H$80,6,FALSE)</f>
        <v>2</v>
      </c>
      <c r="F60" s="115">
        <f>VLOOKUP(E60,爱尔兰及电费计算!$N$27:$O$32,2,FALSE)</f>
        <v>650</v>
      </c>
      <c r="G60" s="115"/>
      <c r="H60" s="115">
        <f t="shared" si="1"/>
        <v>925</v>
      </c>
      <c r="I60" s="69" t="s">
        <v>620</v>
      </c>
      <c r="J60" s="69" t="s">
        <v>621</v>
      </c>
      <c r="K60" s="69">
        <v>2</v>
      </c>
    </row>
    <row r="61" ht="18.95" customHeight="1" spans="1:11">
      <c r="A61" s="113">
        <v>60</v>
      </c>
      <c r="B61" s="116" t="s">
        <v>586</v>
      </c>
      <c r="C61" s="115">
        <v>4</v>
      </c>
      <c r="D61" s="115">
        <f>VLOOKUP(C61,爱尔兰及电费计算!$N$28:$O$32,2,)</f>
        <v>1200</v>
      </c>
      <c r="E61" s="115">
        <f>VLOOKUP(B61,'800兆现状'!$C$1:$H$80,6,FALSE)</f>
        <v>3</v>
      </c>
      <c r="F61" s="115">
        <f>VLOOKUP(E61,爱尔兰及电费计算!$N$27:$O$32,2,FALSE)</f>
        <v>950</v>
      </c>
      <c r="G61" s="115"/>
      <c r="H61" s="115">
        <f t="shared" si="1"/>
        <v>1075</v>
      </c>
      <c r="I61" s="69" t="s">
        <v>620</v>
      </c>
      <c r="J61" s="69" t="s">
        <v>621</v>
      </c>
      <c r="K61" s="69">
        <v>2</v>
      </c>
    </row>
    <row r="62" ht="18.95" customHeight="1" spans="1:11">
      <c r="A62" s="113">
        <v>61</v>
      </c>
      <c r="B62" s="116" t="s">
        <v>587</v>
      </c>
      <c r="C62" s="115">
        <v>6</v>
      </c>
      <c r="D62" s="115">
        <f>VLOOKUP(C62,爱尔兰及电费计算!$N$28:$O$32,2,)</f>
        <v>1600</v>
      </c>
      <c r="E62" s="115">
        <f>VLOOKUP(B62,'800兆现状'!$C$1:$H$80,6,FALSE)</f>
        <v>2</v>
      </c>
      <c r="F62" s="115">
        <f>VLOOKUP(E62,爱尔兰及电费计算!$N$27:$O$32,2,FALSE)</f>
        <v>650</v>
      </c>
      <c r="G62" s="115"/>
      <c r="H62" s="115">
        <f t="shared" si="1"/>
        <v>1125</v>
      </c>
      <c r="I62" s="69" t="s">
        <v>619</v>
      </c>
      <c r="J62" s="69">
        <v>3</v>
      </c>
      <c r="K62" s="118">
        <f>J62/(H62/1000)</f>
        <v>2.66666666666667</v>
      </c>
    </row>
    <row r="63" ht="18.95" customHeight="1" spans="1:11">
      <c r="A63" s="113">
        <v>62</v>
      </c>
      <c r="B63" s="116" t="s">
        <v>541</v>
      </c>
      <c r="C63" s="115">
        <v>6</v>
      </c>
      <c r="D63" s="115">
        <f>VLOOKUP(C63,爱尔兰及电费计算!$N$28:$O$32,2,)</f>
        <v>1600</v>
      </c>
      <c r="E63" s="115">
        <f>VLOOKUP(B63,'800兆现状'!$C$1:$H$80,6,FALSE)</f>
        <v>3</v>
      </c>
      <c r="F63" s="115">
        <f>VLOOKUP(E63,爱尔兰及电费计算!$N$27:$O$32,2,FALSE)</f>
        <v>950</v>
      </c>
      <c r="G63" s="115"/>
      <c r="H63" s="115">
        <f t="shared" si="1"/>
        <v>1275</v>
      </c>
      <c r="I63" s="69" t="s">
        <v>619</v>
      </c>
      <c r="J63" s="69">
        <v>3</v>
      </c>
      <c r="K63" s="118">
        <f>J63/(H63/1000)</f>
        <v>2.35294117647059</v>
      </c>
    </row>
    <row r="64" ht="18.95" customHeight="1" spans="1:11">
      <c r="A64" s="113">
        <v>63</v>
      </c>
      <c r="B64" s="116" t="s">
        <v>588</v>
      </c>
      <c r="C64" s="115">
        <v>4</v>
      </c>
      <c r="D64" s="115">
        <f>VLOOKUP(C64,爱尔兰及电费计算!$N$28:$O$32,2,)</f>
        <v>1200</v>
      </c>
      <c r="E64" s="115">
        <f>VLOOKUP(B64,'800兆现状'!$C$1:$H$80,6,FALSE)</f>
        <v>2</v>
      </c>
      <c r="F64" s="115">
        <f>VLOOKUP(E64,爱尔兰及电费计算!$N$27:$O$32,2,FALSE)</f>
        <v>650</v>
      </c>
      <c r="G64" s="115"/>
      <c r="H64" s="115">
        <f t="shared" si="1"/>
        <v>925</v>
      </c>
      <c r="I64" s="69" t="s">
        <v>620</v>
      </c>
      <c r="J64" s="69" t="s">
        <v>621</v>
      </c>
      <c r="K64" s="69">
        <v>2</v>
      </c>
    </row>
    <row r="65" ht="18.95" customHeight="1" spans="1:11">
      <c r="A65" s="113">
        <v>64</v>
      </c>
      <c r="B65" s="116" t="s">
        <v>488</v>
      </c>
      <c r="C65" s="115">
        <v>4</v>
      </c>
      <c r="D65" s="115">
        <f>VLOOKUP(C65,爱尔兰及电费计算!$N$28:$O$32,2,)</f>
        <v>1200</v>
      </c>
      <c r="E65" s="115">
        <f>VLOOKUP(B65,'800兆现状'!$C$1:$H$80,6,FALSE)</f>
        <v>2</v>
      </c>
      <c r="F65" s="115">
        <f>VLOOKUP(E65,爱尔兰及电费计算!$N$27:$O$32,2,FALSE)</f>
        <v>650</v>
      </c>
      <c r="G65" s="115"/>
      <c r="H65" s="115">
        <f t="shared" si="1"/>
        <v>925</v>
      </c>
      <c r="I65" s="69" t="s">
        <v>619</v>
      </c>
      <c r="J65" s="69">
        <v>3</v>
      </c>
      <c r="K65" s="118">
        <f>J65/(H65/1000)</f>
        <v>3.24324324324324</v>
      </c>
    </row>
    <row r="66" ht="18.95" customHeight="1" spans="1:11">
      <c r="A66" s="113">
        <v>65</v>
      </c>
      <c r="B66" s="116" t="s">
        <v>589</v>
      </c>
      <c r="C66" s="115">
        <v>4</v>
      </c>
      <c r="D66" s="115">
        <f>VLOOKUP(C66,爱尔兰及电费计算!$N$28:$O$32,2,)</f>
        <v>1200</v>
      </c>
      <c r="E66" s="115">
        <f>VLOOKUP(B66,'800兆现状'!$C$1:$H$80,6,FALSE)</f>
        <v>2</v>
      </c>
      <c r="F66" s="115">
        <f>VLOOKUP(E66,爱尔兰及电费计算!$N$27:$O$32,2,FALSE)</f>
        <v>650</v>
      </c>
      <c r="G66" s="115"/>
      <c r="H66" s="115">
        <f t="shared" si="1"/>
        <v>925</v>
      </c>
      <c r="I66" s="69" t="s">
        <v>620</v>
      </c>
      <c r="J66" s="69" t="s">
        <v>621</v>
      </c>
      <c r="K66" s="69">
        <v>2</v>
      </c>
    </row>
    <row r="67" ht="18.95" customHeight="1" spans="1:11">
      <c r="A67" s="113">
        <v>66</v>
      </c>
      <c r="B67" s="116" t="s">
        <v>590</v>
      </c>
      <c r="C67" s="115">
        <v>4</v>
      </c>
      <c r="D67" s="115">
        <f>VLOOKUP(C67,爱尔兰及电费计算!$N$28:$O$32,2,)</f>
        <v>1200</v>
      </c>
      <c r="E67" s="115"/>
      <c r="F67" s="115"/>
      <c r="G67" s="115"/>
      <c r="H67" s="115">
        <f t="shared" si="1"/>
        <v>600</v>
      </c>
      <c r="I67" s="69" t="s">
        <v>620</v>
      </c>
      <c r="J67" s="69" t="s">
        <v>621</v>
      </c>
      <c r="K67" s="69">
        <v>2</v>
      </c>
    </row>
    <row r="68" ht="18.95" customHeight="1" spans="1:11">
      <c r="A68" s="113">
        <v>67</v>
      </c>
      <c r="B68" s="116" t="s">
        <v>591</v>
      </c>
      <c r="C68" s="115">
        <v>4</v>
      </c>
      <c r="D68" s="115">
        <f>VLOOKUP(C68,爱尔兰及电费计算!$N$28:$O$32,2,)</f>
        <v>1200</v>
      </c>
      <c r="E68" s="115">
        <f>VLOOKUP(B68,'800兆现状'!$C$1:$H$80,6,FALSE)</f>
        <v>2</v>
      </c>
      <c r="F68" s="115">
        <f>VLOOKUP(E68,爱尔兰及电费计算!$N$27:$O$32,2,FALSE)</f>
        <v>650</v>
      </c>
      <c r="G68" s="115"/>
      <c r="H68" s="115">
        <f t="shared" si="1"/>
        <v>925</v>
      </c>
      <c r="I68" s="69" t="s">
        <v>619</v>
      </c>
      <c r="J68" s="69">
        <v>2.4</v>
      </c>
      <c r="K68" s="118">
        <f>J68/(H68/1000)</f>
        <v>2.59459459459459</v>
      </c>
    </row>
    <row r="69" ht="18.95" customHeight="1" spans="1:11">
      <c r="A69" s="113">
        <v>68</v>
      </c>
      <c r="B69" s="116" t="s">
        <v>515</v>
      </c>
      <c r="C69" s="115">
        <v>4</v>
      </c>
      <c r="D69" s="115">
        <f>VLOOKUP(C69,爱尔兰及电费计算!$N$28:$O$32,2,)</f>
        <v>1200</v>
      </c>
      <c r="E69" s="115">
        <f>VLOOKUP(B69,'800兆现状'!$C$1:$H$80,6,FALSE)</f>
        <v>2</v>
      </c>
      <c r="F69" s="115">
        <f>VLOOKUP(E69,爱尔兰及电费计算!$N$27:$O$32,2,FALSE)</f>
        <v>650</v>
      </c>
      <c r="G69" s="115"/>
      <c r="H69" s="115">
        <f t="shared" si="1"/>
        <v>925</v>
      </c>
      <c r="I69" s="69" t="s">
        <v>619</v>
      </c>
      <c r="J69" s="69">
        <v>3</v>
      </c>
      <c r="K69" s="118">
        <f>J69/(H69/1000)</f>
        <v>3.24324324324324</v>
      </c>
    </row>
    <row r="70" ht="18.95" customHeight="1" spans="1:11">
      <c r="A70" s="113">
        <v>69</v>
      </c>
      <c r="B70" s="116" t="s">
        <v>592</v>
      </c>
      <c r="C70" s="115">
        <v>4</v>
      </c>
      <c r="D70" s="115">
        <f>VLOOKUP(C70,爱尔兰及电费计算!$N$28:$O$32,2,)</f>
        <v>1200</v>
      </c>
      <c r="E70" s="115">
        <f>VLOOKUP(B70,'800兆现状'!$C$1:$H$80,6,FALSE)</f>
        <v>2</v>
      </c>
      <c r="F70" s="115">
        <f>VLOOKUP(E70,爱尔兰及电费计算!$N$27:$O$32,2,FALSE)</f>
        <v>650</v>
      </c>
      <c r="G70" s="115"/>
      <c r="H70" s="115">
        <f t="shared" si="1"/>
        <v>925</v>
      </c>
      <c r="I70" s="69" t="s">
        <v>619</v>
      </c>
      <c r="J70" s="69">
        <v>3</v>
      </c>
      <c r="K70" s="118">
        <f>J70/(H70/1000)</f>
        <v>3.24324324324324</v>
      </c>
    </row>
    <row r="71" ht="18.95" customHeight="1" spans="1:11">
      <c r="A71" s="113">
        <v>70</v>
      </c>
      <c r="B71" s="116" t="s">
        <v>593</v>
      </c>
      <c r="C71" s="115">
        <v>4</v>
      </c>
      <c r="D71" s="115">
        <f>VLOOKUP(C71,爱尔兰及电费计算!$N$28:$O$32,2,)</f>
        <v>1200</v>
      </c>
      <c r="E71" s="115">
        <f>VLOOKUP(B71,'800兆现状'!$C$1:$H$80,6,FALSE)</f>
        <v>2</v>
      </c>
      <c r="F71" s="115">
        <f>VLOOKUP(E71,爱尔兰及电费计算!$N$27:$O$32,2,FALSE)</f>
        <v>650</v>
      </c>
      <c r="G71" s="115"/>
      <c r="H71" s="115">
        <f t="shared" si="1"/>
        <v>925</v>
      </c>
      <c r="I71" s="69" t="s">
        <v>619</v>
      </c>
      <c r="J71" s="69">
        <v>3</v>
      </c>
      <c r="K71" s="118">
        <f>J71/(H71/1000)</f>
        <v>3.24324324324324</v>
      </c>
    </row>
    <row r="72" ht="18.95" customHeight="1" spans="1:11">
      <c r="A72" s="113">
        <v>71</v>
      </c>
      <c r="B72" s="116" t="s">
        <v>594</v>
      </c>
      <c r="C72" s="115">
        <v>4</v>
      </c>
      <c r="D72" s="115">
        <f>VLOOKUP(C72,爱尔兰及电费计算!$N$28:$O$32,2,)</f>
        <v>1200</v>
      </c>
      <c r="E72" s="115">
        <f>VLOOKUP(B72,'800兆现状'!$C$1:$H$80,6,FALSE)</f>
        <v>2</v>
      </c>
      <c r="F72" s="115">
        <f>VLOOKUP(E72,爱尔兰及电费计算!$N$27:$O$32,2,FALSE)</f>
        <v>650</v>
      </c>
      <c r="G72" s="115"/>
      <c r="H72" s="115">
        <f t="shared" si="1"/>
        <v>925</v>
      </c>
      <c r="I72" s="69" t="s">
        <v>619</v>
      </c>
      <c r="J72" s="69">
        <v>2.4</v>
      </c>
      <c r="K72" s="118">
        <f>J72/(H72/1000)</f>
        <v>2.59459459459459</v>
      </c>
    </row>
    <row r="73" ht="18.95" customHeight="1" spans="1:11">
      <c r="A73" s="113">
        <v>72</v>
      </c>
      <c r="B73" s="116" t="s">
        <v>595</v>
      </c>
      <c r="C73" s="115">
        <v>4</v>
      </c>
      <c r="D73" s="115">
        <f>VLOOKUP(C73,爱尔兰及电费计算!$N$28:$O$32,2,)</f>
        <v>1200</v>
      </c>
      <c r="E73" s="115">
        <f>VLOOKUP(B73,'800兆现状'!$C$1:$H$80,6,FALSE)</f>
        <v>2</v>
      </c>
      <c r="F73" s="115">
        <f>VLOOKUP(E73,爱尔兰及电费计算!$N$27:$O$32,2,FALSE)</f>
        <v>650</v>
      </c>
      <c r="G73" s="115"/>
      <c r="H73" s="115">
        <f t="shared" si="1"/>
        <v>925</v>
      </c>
      <c r="I73" s="69" t="s">
        <v>620</v>
      </c>
      <c r="J73" s="69" t="s">
        <v>621</v>
      </c>
      <c r="K73" s="69">
        <v>2</v>
      </c>
    </row>
    <row r="74" ht="18.95" customHeight="1" spans="1:11">
      <c r="A74" s="113">
        <v>73</v>
      </c>
      <c r="B74" s="116" t="s">
        <v>596</v>
      </c>
      <c r="C74" s="115">
        <v>4</v>
      </c>
      <c r="D74" s="115">
        <f>VLOOKUP(C74,爱尔兰及电费计算!$N$28:$O$32,2,)</f>
        <v>1200</v>
      </c>
      <c r="E74" s="115"/>
      <c r="F74" s="115"/>
      <c r="G74" s="115"/>
      <c r="H74" s="115">
        <f t="shared" si="1"/>
        <v>600</v>
      </c>
      <c r="I74" s="69" t="s">
        <v>620</v>
      </c>
      <c r="J74" s="69" t="s">
        <v>621</v>
      </c>
      <c r="K74" s="69">
        <v>2</v>
      </c>
    </row>
    <row r="75" ht="18.95" customHeight="1" spans="1:11">
      <c r="A75" s="113">
        <v>74</v>
      </c>
      <c r="B75" s="116" t="s">
        <v>597</v>
      </c>
      <c r="C75" s="115">
        <v>4</v>
      </c>
      <c r="D75" s="115">
        <f>VLOOKUP(C75,爱尔兰及电费计算!$N$28:$O$32,2,)</f>
        <v>1200</v>
      </c>
      <c r="E75" s="115">
        <f>VLOOKUP(B75,'800兆现状'!$C$1:$H$80,6,FALSE)</f>
        <v>2</v>
      </c>
      <c r="F75" s="115">
        <f>VLOOKUP(E75,爱尔兰及电费计算!$N$27:$O$32,2,FALSE)</f>
        <v>650</v>
      </c>
      <c r="G75" s="115"/>
      <c r="H75" s="115">
        <f t="shared" si="1"/>
        <v>925</v>
      </c>
      <c r="I75" s="69" t="s">
        <v>620</v>
      </c>
      <c r="J75" s="69" t="s">
        <v>621</v>
      </c>
      <c r="K75" s="69">
        <v>2</v>
      </c>
    </row>
    <row r="76" ht="18.95" customHeight="1" spans="1:11">
      <c r="A76" s="113">
        <v>75</v>
      </c>
      <c r="B76" s="116" t="s">
        <v>598</v>
      </c>
      <c r="C76" s="115">
        <v>4</v>
      </c>
      <c r="D76" s="115">
        <f>VLOOKUP(C76,爱尔兰及电费计算!$N$28:$O$32,2,)</f>
        <v>1200</v>
      </c>
      <c r="E76" s="115"/>
      <c r="F76" s="115"/>
      <c r="G76" s="115"/>
      <c r="H76" s="115">
        <f t="shared" si="1"/>
        <v>600</v>
      </c>
      <c r="I76" s="69" t="s">
        <v>620</v>
      </c>
      <c r="J76" s="69" t="s">
        <v>621</v>
      </c>
      <c r="K76" s="69">
        <v>2</v>
      </c>
    </row>
    <row r="77" ht="18.95" customHeight="1" spans="1:11">
      <c r="A77" s="113">
        <v>76</v>
      </c>
      <c r="B77" s="116" t="s">
        <v>599</v>
      </c>
      <c r="C77" s="115">
        <v>4</v>
      </c>
      <c r="D77" s="115">
        <f>VLOOKUP(C77,爱尔兰及电费计算!$N$28:$O$32,2,)</f>
        <v>1200</v>
      </c>
      <c r="E77" s="115"/>
      <c r="F77" s="115"/>
      <c r="G77" s="115"/>
      <c r="H77" s="115">
        <f t="shared" si="1"/>
        <v>600</v>
      </c>
      <c r="I77" s="69" t="s">
        <v>620</v>
      </c>
      <c r="J77" s="69" t="s">
        <v>621</v>
      </c>
      <c r="K77" s="69">
        <v>2</v>
      </c>
    </row>
    <row r="78" ht="18.95" customHeight="1" spans="1:11">
      <c r="A78" s="113">
        <v>77</v>
      </c>
      <c r="B78" s="116" t="s">
        <v>600</v>
      </c>
      <c r="C78" s="115">
        <v>4</v>
      </c>
      <c r="D78" s="115">
        <f>VLOOKUP(C78,爱尔兰及电费计算!$N$28:$O$32,2,)</f>
        <v>1200</v>
      </c>
      <c r="E78" s="115"/>
      <c r="F78" s="115"/>
      <c r="G78" s="115"/>
      <c r="H78" s="115">
        <f t="shared" si="1"/>
        <v>600</v>
      </c>
      <c r="I78" s="69" t="s">
        <v>620</v>
      </c>
      <c r="J78" s="69" t="s">
        <v>621</v>
      </c>
      <c r="K78" s="69">
        <v>2</v>
      </c>
    </row>
    <row r="79" ht="18.95" customHeight="1" spans="1:11">
      <c r="A79" s="113">
        <v>78</v>
      </c>
      <c r="B79" s="116" t="s">
        <v>601</v>
      </c>
      <c r="C79" s="115">
        <v>4</v>
      </c>
      <c r="D79" s="115">
        <f>VLOOKUP(C79,爱尔兰及电费计算!$N$28:$O$32,2,)</f>
        <v>1200</v>
      </c>
      <c r="E79" s="115"/>
      <c r="F79" s="115"/>
      <c r="G79" s="115"/>
      <c r="H79" s="115">
        <f t="shared" si="1"/>
        <v>600</v>
      </c>
      <c r="I79" s="69" t="s">
        <v>620</v>
      </c>
      <c r="J79" s="69" t="s">
        <v>621</v>
      </c>
      <c r="K79" s="69">
        <v>2</v>
      </c>
    </row>
    <row r="80" ht="21" customHeight="1" spans="1:11">
      <c r="A80" s="113">
        <v>79</v>
      </c>
      <c r="B80" s="116" t="s">
        <v>578</v>
      </c>
      <c r="C80" s="115">
        <v>12</v>
      </c>
      <c r="D80" s="115">
        <v>3600</v>
      </c>
      <c r="E80" s="115">
        <v>8</v>
      </c>
      <c r="F80" s="115">
        <f>VLOOKUP(E80,爱尔兰及电费计算!$N$27:$O$32,2,FALSE)</f>
        <v>2000</v>
      </c>
      <c r="G80" s="115">
        <f>12*3000</f>
        <v>36000</v>
      </c>
      <c r="H80" s="115">
        <f t="shared" si="1"/>
        <v>20800</v>
      </c>
      <c r="I80" s="69" t="s">
        <v>620</v>
      </c>
      <c r="J80" s="69">
        <v>200</v>
      </c>
      <c r="K80" s="118">
        <f>J80/(H80/1000)</f>
        <v>9.61538461538461</v>
      </c>
    </row>
    <row r="81" ht="21" customHeight="1" spans="1:11">
      <c r="A81" s="113">
        <v>80</v>
      </c>
      <c r="B81" s="116" t="s">
        <v>622</v>
      </c>
      <c r="C81" s="115"/>
      <c r="D81" s="115"/>
      <c r="E81" s="115"/>
      <c r="F81" s="115"/>
      <c r="G81" s="115">
        <f>800*10+3*3000</f>
        <v>17000</v>
      </c>
      <c r="H81" s="115">
        <f t="shared" si="1"/>
        <v>8500</v>
      </c>
      <c r="I81" s="69" t="s">
        <v>620</v>
      </c>
      <c r="J81" s="69">
        <v>50</v>
      </c>
      <c r="K81" s="118">
        <f>J81/(H81/1000)</f>
        <v>5.88235294117647</v>
      </c>
    </row>
  </sheetData>
  <autoFilter xmlns:etc="http://www.wps.cn/officeDocument/2017/etCustomData" ref="A1:P81" etc:filterBottomFollowUsedRange="0">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view="pageBreakPreview" zoomScaleNormal="100" workbookViewId="0">
      <selection activeCell="F80" sqref="E2:F80"/>
    </sheetView>
  </sheetViews>
  <sheetFormatPr defaultColWidth="8.88333333333333" defaultRowHeight="13.5" outlineLevelCol="7"/>
  <cols>
    <col min="3" max="3" width="36.5" customWidth="1"/>
    <col min="4" max="4" width="39.7583333333333" hidden="1" customWidth="1"/>
    <col min="5" max="6" width="13.2583333333333" customWidth="1"/>
    <col min="7" max="7" width="11.3833333333333" customWidth="1"/>
  </cols>
  <sheetData>
    <row r="1" ht="42.95" customHeight="1" spans="1:8">
      <c r="A1" s="107" t="s">
        <v>430</v>
      </c>
      <c r="B1" s="107" t="s">
        <v>623</v>
      </c>
      <c r="C1" s="107" t="s">
        <v>624</v>
      </c>
      <c r="D1" s="107" t="s">
        <v>625</v>
      </c>
      <c r="E1" s="107" t="s">
        <v>437</v>
      </c>
      <c r="F1" s="107" t="s">
        <v>438</v>
      </c>
      <c r="G1" s="107" t="s">
        <v>626</v>
      </c>
      <c r="H1" s="107" t="s">
        <v>627</v>
      </c>
    </row>
    <row r="2" s="106" customFormat="1" ht="15" customHeight="1" spans="1:8">
      <c r="A2" s="108">
        <v>1</v>
      </c>
      <c r="B2" s="109" t="s">
        <v>628</v>
      </c>
      <c r="C2" s="110" t="s">
        <v>578</v>
      </c>
      <c r="D2" s="107" t="s">
        <v>629</v>
      </c>
      <c r="E2" s="107">
        <v>113.38388</v>
      </c>
      <c r="F2" s="107">
        <v>22.51222</v>
      </c>
      <c r="G2" s="107">
        <v>80</v>
      </c>
      <c r="H2" s="107">
        <v>8</v>
      </c>
    </row>
    <row r="3" s="106" customFormat="1" ht="15" customHeight="1" spans="1:8">
      <c r="A3" s="108">
        <v>2</v>
      </c>
      <c r="B3" s="109" t="s">
        <v>628</v>
      </c>
      <c r="C3" s="110" t="s">
        <v>549</v>
      </c>
      <c r="D3" s="107" t="s">
        <v>630</v>
      </c>
      <c r="E3" s="107">
        <v>113.327917</v>
      </c>
      <c r="F3" s="107">
        <v>22.713987</v>
      </c>
      <c r="G3" s="107">
        <v>70</v>
      </c>
      <c r="H3" s="107">
        <v>3</v>
      </c>
    </row>
    <row r="4" s="106" customFormat="1" ht="15" customHeight="1" spans="1:8">
      <c r="A4" s="108">
        <v>3</v>
      </c>
      <c r="B4" s="109" t="s">
        <v>628</v>
      </c>
      <c r="C4" s="110" t="s">
        <v>550</v>
      </c>
      <c r="D4" s="107" t="s">
        <v>631</v>
      </c>
      <c r="E4" s="107">
        <v>113.48607</v>
      </c>
      <c r="F4" s="107">
        <v>22.62367</v>
      </c>
      <c r="G4" s="107">
        <v>70</v>
      </c>
      <c r="H4" s="107">
        <v>3</v>
      </c>
    </row>
    <row r="5" s="106" customFormat="1" ht="15" customHeight="1" spans="1:8">
      <c r="A5" s="108">
        <v>4</v>
      </c>
      <c r="B5" s="109" t="s">
        <v>628</v>
      </c>
      <c r="C5" s="110" t="s">
        <v>551</v>
      </c>
      <c r="D5" s="107" t="s">
        <v>632</v>
      </c>
      <c r="E5" s="107">
        <v>113.38916</v>
      </c>
      <c r="F5" s="107">
        <v>22.43916</v>
      </c>
      <c r="G5" s="107">
        <v>70</v>
      </c>
      <c r="H5" s="107">
        <v>2</v>
      </c>
    </row>
    <row r="6" s="106" customFormat="1" ht="15" customHeight="1" spans="1:8">
      <c r="A6" s="108">
        <v>5</v>
      </c>
      <c r="B6" s="109" t="s">
        <v>628</v>
      </c>
      <c r="C6" s="110" t="s">
        <v>552</v>
      </c>
      <c r="D6" s="107" t="s">
        <v>633</v>
      </c>
      <c r="E6" s="107">
        <v>113.31416</v>
      </c>
      <c r="F6" s="107">
        <v>22.419166</v>
      </c>
      <c r="G6" s="107">
        <v>60</v>
      </c>
      <c r="H6" s="107">
        <v>2</v>
      </c>
    </row>
    <row r="7" s="106" customFormat="1" ht="15" customHeight="1" spans="1:8">
      <c r="A7" s="108">
        <v>6</v>
      </c>
      <c r="B7" s="109" t="s">
        <v>628</v>
      </c>
      <c r="C7" s="110" t="s">
        <v>452</v>
      </c>
      <c r="D7" s="107" t="s">
        <v>634</v>
      </c>
      <c r="E7" s="107">
        <v>113.442997</v>
      </c>
      <c r="F7" s="107">
        <v>22.360242</v>
      </c>
      <c r="G7" s="107">
        <v>110</v>
      </c>
      <c r="H7" s="107">
        <v>3</v>
      </c>
    </row>
    <row r="8" s="106" customFormat="1" ht="15" customHeight="1" spans="1:8">
      <c r="A8" s="108">
        <v>7</v>
      </c>
      <c r="B8" s="109" t="s">
        <v>628</v>
      </c>
      <c r="C8" s="110" t="s">
        <v>553</v>
      </c>
      <c r="D8" s="107" t="s">
        <v>635</v>
      </c>
      <c r="E8" s="107">
        <v>113.33527</v>
      </c>
      <c r="F8" s="107">
        <v>22.31527</v>
      </c>
      <c r="G8" s="107">
        <v>50</v>
      </c>
      <c r="H8" s="107">
        <v>2</v>
      </c>
    </row>
    <row r="9" s="106" customFormat="1" ht="15" customHeight="1" spans="1:8">
      <c r="A9" s="108">
        <v>8</v>
      </c>
      <c r="B9" s="109" t="s">
        <v>628</v>
      </c>
      <c r="C9" s="110" t="s">
        <v>501</v>
      </c>
      <c r="D9" s="107" t="s">
        <v>636</v>
      </c>
      <c r="E9" s="107">
        <v>113.52555</v>
      </c>
      <c r="F9" s="107">
        <v>22.49006</v>
      </c>
      <c r="G9" s="107">
        <v>120</v>
      </c>
      <c r="H9" s="107">
        <v>3</v>
      </c>
    </row>
    <row r="10" s="106" customFormat="1" ht="15" customHeight="1" spans="1:8">
      <c r="A10" s="108">
        <v>9</v>
      </c>
      <c r="B10" s="109" t="s">
        <v>628</v>
      </c>
      <c r="C10" s="110" t="s">
        <v>449</v>
      </c>
      <c r="D10" s="107" t="s">
        <v>637</v>
      </c>
      <c r="E10" s="107">
        <v>113.47776</v>
      </c>
      <c r="F10" s="107">
        <v>22.26585</v>
      </c>
      <c r="G10" s="107">
        <v>110</v>
      </c>
      <c r="H10" s="107">
        <v>3</v>
      </c>
    </row>
    <row r="11" s="106" customFormat="1" ht="15" customHeight="1" spans="1:8">
      <c r="A11" s="108">
        <v>10</v>
      </c>
      <c r="B11" s="109" t="s">
        <v>628</v>
      </c>
      <c r="C11" s="110" t="s">
        <v>475</v>
      </c>
      <c r="D11" s="107" t="s">
        <v>638</v>
      </c>
      <c r="E11" s="107">
        <v>113.185238</v>
      </c>
      <c r="F11" s="107">
        <v>22.617297</v>
      </c>
      <c r="G11" s="107">
        <v>120</v>
      </c>
      <c r="H11" s="107">
        <v>3</v>
      </c>
    </row>
    <row r="12" s="106" customFormat="1" ht="15" customHeight="1" spans="1:8">
      <c r="A12" s="108">
        <v>11</v>
      </c>
      <c r="B12" s="109" t="s">
        <v>628</v>
      </c>
      <c r="C12" s="110" t="s">
        <v>554</v>
      </c>
      <c r="D12" s="107" t="s">
        <v>639</v>
      </c>
      <c r="E12" s="107">
        <v>113.5294</v>
      </c>
      <c r="F12" s="107">
        <v>22.44798</v>
      </c>
      <c r="G12" s="107">
        <v>80</v>
      </c>
      <c r="H12" s="107">
        <v>3</v>
      </c>
    </row>
    <row r="13" s="106" customFormat="1" ht="15" customHeight="1" spans="1:8">
      <c r="A13" s="108">
        <v>12</v>
      </c>
      <c r="B13" s="109" t="s">
        <v>628</v>
      </c>
      <c r="C13" s="110" t="s">
        <v>497</v>
      </c>
      <c r="D13" s="107" t="s">
        <v>640</v>
      </c>
      <c r="E13" s="107">
        <v>113.244588</v>
      </c>
      <c r="F13" s="107">
        <v>22.670006</v>
      </c>
      <c r="G13" s="107">
        <v>230</v>
      </c>
      <c r="H13" s="107">
        <v>3</v>
      </c>
    </row>
    <row r="14" s="106" customFormat="1" ht="15" customHeight="1" spans="1:8">
      <c r="A14" s="108">
        <v>13</v>
      </c>
      <c r="B14" s="109" t="s">
        <v>641</v>
      </c>
      <c r="C14" s="110" t="s">
        <v>555</v>
      </c>
      <c r="D14" s="107" t="s">
        <v>642</v>
      </c>
      <c r="E14" s="107">
        <v>113.34418</v>
      </c>
      <c r="F14" s="107">
        <v>22.5229</v>
      </c>
      <c r="G14" s="107">
        <v>80</v>
      </c>
      <c r="H14" s="107">
        <v>3</v>
      </c>
    </row>
    <row r="15" s="106" customFormat="1" ht="15" customHeight="1" spans="1:8">
      <c r="A15" s="108">
        <v>14</v>
      </c>
      <c r="B15" s="109" t="s">
        <v>641</v>
      </c>
      <c r="C15" s="110" t="s">
        <v>521</v>
      </c>
      <c r="D15" s="107" t="s">
        <v>643</v>
      </c>
      <c r="E15" s="107">
        <v>113.377369</v>
      </c>
      <c r="F15" s="107">
        <v>22.542784</v>
      </c>
      <c r="G15" s="107">
        <v>110</v>
      </c>
      <c r="H15" s="107">
        <v>4</v>
      </c>
    </row>
    <row r="16" s="106" customFormat="1" ht="15" customHeight="1" spans="1:8">
      <c r="A16" s="108">
        <v>15</v>
      </c>
      <c r="B16" s="109" t="s">
        <v>641</v>
      </c>
      <c r="C16" s="110" t="s">
        <v>594</v>
      </c>
      <c r="D16" s="107" t="s">
        <v>644</v>
      </c>
      <c r="E16" s="107">
        <v>113.3383</v>
      </c>
      <c r="F16" s="107">
        <v>22.56514</v>
      </c>
      <c r="G16" s="107">
        <v>80</v>
      </c>
      <c r="H16" s="107">
        <v>2</v>
      </c>
    </row>
    <row r="17" s="106" customFormat="1" ht="15" customHeight="1" spans="1:8">
      <c r="A17" s="108">
        <v>16</v>
      </c>
      <c r="B17" s="109" t="s">
        <v>641</v>
      </c>
      <c r="C17" s="110" t="s">
        <v>595</v>
      </c>
      <c r="D17" s="107" t="s">
        <v>645</v>
      </c>
      <c r="E17" s="107">
        <v>113.34877</v>
      </c>
      <c r="F17" s="107">
        <v>22.48623</v>
      </c>
      <c r="G17" s="107">
        <v>80</v>
      </c>
      <c r="H17" s="107">
        <v>2</v>
      </c>
    </row>
    <row r="18" s="106" customFormat="1" ht="15" customHeight="1" spans="1:8">
      <c r="A18" s="108">
        <v>17</v>
      </c>
      <c r="B18" s="109" t="s">
        <v>641</v>
      </c>
      <c r="C18" s="110" t="s">
        <v>586</v>
      </c>
      <c r="D18" s="107" t="s">
        <v>646</v>
      </c>
      <c r="E18" s="107">
        <v>113.4622</v>
      </c>
      <c r="F18" s="107">
        <v>22.56043</v>
      </c>
      <c r="G18" s="107">
        <v>80</v>
      </c>
      <c r="H18" s="107">
        <v>3</v>
      </c>
    </row>
    <row r="19" s="106" customFormat="1" ht="15" customHeight="1" spans="1:8">
      <c r="A19" s="108">
        <v>18</v>
      </c>
      <c r="B19" s="109" t="s">
        <v>641</v>
      </c>
      <c r="C19" s="110" t="s">
        <v>483</v>
      </c>
      <c r="D19" s="107" t="s">
        <v>647</v>
      </c>
      <c r="E19" s="107">
        <v>113.5936</v>
      </c>
      <c r="F19" s="107">
        <v>22.55998</v>
      </c>
      <c r="G19" s="107">
        <v>110</v>
      </c>
      <c r="H19" s="107">
        <v>2</v>
      </c>
    </row>
    <row r="20" s="106" customFormat="1" ht="15" customHeight="1" spans="1:8">
      <c r="A20" s="108">
        <v>19</v>
      </c>
      <c r="B20" s="109" t="s">
        <v>641</v>
      </c>
      <c r="C20" s="110" t="s">
        <v>568</v>
      </c>
      <c r="D20" s="107" t="s">
        <v>648</v>
      </c>
      <c r="E20" s="107">
        <v>113.4024</v>
      </c>
      <c r="F20" s="107">
        <v>22.6246</v>
      </c>
      <c r="G20" s="107">
        <v>40</v>
      </c>
      <c r="H20" s="107">
        <v>1</v>
      </c>
    </row>
    <row r="21" s="106" customFormat="1" ht="15" customHeight="1" spans="1:8">
      <c r="A21" s="108">
        <v>20</v>
      </c>
      <c r="B21" s="109" t="s">
        <v>641</v>
      </c>
      <c r="C21" s="110" t="s">
        <v>571</v>
      </c>
      <c r="D21" s="107" t="s">
        <v>649</v>
      </c>
      <c r="E21" s="107">
        <v>113.48445</v>
      </c>
      <c r="F21" s="107">
        <v>22.52539</v>
      </c>
      <c r="G21" s="107">
        <v>55</v>
      </c>
      <c r="H21" s="107">
        <v>2</v>
      </c>
    </row>
    <row r="22" s="106" customFormat="1" ht="15" customHeight="1" spans="1:8">
      <c r="A22" s="108">
        <v>21</v>
      </c>
      <c r="B22" s="109" t="s">
        <v>641</v>
      </c>
      <c r="C22" s="110" t="s">
        <v>492</v>
      </c>
      <c r="D22" s="107" t="s">
        <v>650</v>
      </c>
      <c r="E22" s="107">
        <v>113.41665</v>
      </c>
      <c r="F22" s="107">
        <v>22.67941</v>
      </c>
      <c r="G22" s="107">
        <v>70</v>
      </c>
      <c r="H22" s="107">
        <v>2</v>
      </c>
    </row>
    <row r="23" s="106" customFormat="1" ht="15" customHeight="1" spans="1:8">
      <c r="A23" s="108">
        <v>22</v>
      </c>
      <c r="B23" s="109" t="s">
        <v>641</v>
      </c>
      <c r="C23" s="110" t="s">
        <v>512</v>
      </c>
      <c r="D23" s="107" t="s">
        <v>651</v>
      </c>
      <c r="E23" s="107">
        <v>113.278276</v>
      </c>
      <c r="F23" s="107">
        <v>22.632227</v>
      </c>
      <c r="G23" s="107">
        <v>70</v>
      </c>
      <c r="H23" s="107">
        <v>2</v>
      </c>
    </row>
    <row r="24" s="106" customFormat="1" ht="15" customHeight="1" spans="1:8">
      <c r="A24" s="108">
        <v>23</v>
      </c>
      <c r="B24" s="109" t="s">
        <v>641</v>
      </c>
      <c r="C24" s="110" t="s">
        <v>557</v>
      </c>
      <c r="D24" s="107" t="s">
        <v>652</v>
      </c>
      <c r="E24" s="107">
        <v>113.244528</v>
      </c>
      <c r="F24" s="107">
        <v>22.55359</v>
      </c>
      <c r="G24" s="107">
        <v>70</v>
      </c>
      <c r="H24" s="107">
        <v>2</v>
      </c>
    </row>
    <row r="25" s="106" customFormat="1" ht="15" customHeight="1" spans="1:8">
      <c r="A25" s="108">
        <v>24</v>
      </c>
      <c r="B25" s="109" t="s">
        <v>641</v>
      </c>
      <c r="C25" s="110" t="s">
        <v>575</v>
      </c>
      <c r="D25" s="107" t="s">
        <v>653</v>
      </c>
      <c r="E25" s="107">
        <v>113.31109</v>
      </c>
      <c r="F25" s="107">
        <v>22.51527</v>
      </c>
      <c r="G25" s="107">
        <v>60</v>
      </c>
      <c r="H25" s="107">
        <v>2</v>
      </c>
    </row>
    <row r="26" s="106" customFormat="1" ht="15" customHeight="1" spans="1:8">
      <c r="A26" s="108">
        <v>25</v>
      </c>
      <c r="B26" s="109" t="s">
        <v>641</v>
      </c>
      <c r="C26" s="110" t="s">
        <v>558</v>
      </c>
      <c r="D26" s="107" t="s">
        <v>654</v>
      </c>
      <c r="E26" s="107">
        <v>113.28943</v>
      </c>
      <c r="F26" s="107">
        <v>22.46851</v>
      </c>
      <c r="G26" s="107">
        <v>70</v>
      </c>
      <c r="H26" s="107">
        <v>2</v>
      </c>
    </row>
    <row r="27" s="106" customFormat="1" ht="15" customHeight="1" spans="1:8">
      <c r="A27" s="108">
        <v>26</v>
      </c>
      <c r="B27" s="109"/>
      <c r="C27" s="110" t="s">
        <v>655</v>
      </c>
      <c r="D27" s="107" t="s">
        <v>656</v>
      </c>
      <c r="E27" s="107"/>
      <c r="F27" s="107"/>
      <c r="G27" s="107"/>
      <c r="H27" s="107"/>
    </row>
    <row r="28" s="106" customFormat="1" ht="15" customHeight="1" spans="1:8">
      <c r="A28" s="108">
        <v>27</v>
      </c>
      <c r="B28" s="109"/>
      <c r="C28" s="110" t="s">
        <v>657</v>
      </c>
      <c r="D28" s="107" t="s">
        <v>656</v>
      </c>
      <c r="E28" s="107"/>
      <c r="F28" s="107"/>
      <c r="G28" s="107"/>
      <c r="H28" s="107"/>
    </row>
    <row r="29" s="106" customFormat="1" ht="15" customHeight="1" spans="1:8">
      <c r="A29" s="108">
        <v>28</v>
      </c>
      <c r="B29" s="109" t="s">
        <v>641</v>
      </c>
      <c r="C29" s="110" t="s">
        <v>527</v>
      </c>
      <c r="D29" s="107" t="s">
        <v>658</v>
      </c>
      <c r="E29" s="107">
        <v>113.4129575534</v>
      </c>
      <c r="F29" s="107">
        <v>22.5052176182</v>
      </c>
      <c r="G29" s="107">
        <v>100</v>
      </c>
      <c r="H29" s="107">
        <v>3</v>
      </c>
    </row>
    <row r="30" s="106" customFormat="1" ht="15" customHeight="1" spans="1:8">
      <c r="A30" s="108">
        <v>30</v>
      </c>
      <c r="B30" s="109" t="s">
        <v>659</v>
      </c>
      <c r="C30" s="110" t="s">
        <v>541</v>
      </c>
      <c r="D30" s="107" t="s">
        <v>660</v>
      </c>
      <c r="E30" s="107">
        <v>113.36376</v>
      </c>
      <c r="F30" s="107">
        <v>22.51038</v>
      </c>
      <c r="G30" s="107">
        <v>120</v>
      </c>
      <c r="H30" s="107">
        <v>3</v>
      </c>
    </row>
    <row r="31" s="106" customFormat="1" ht="15" customHeight="1" spans="1:8">
      <c r="A31" s="108">
        <v>31</v>
      </c>
      <c r="B31" s="109" t="s">
        <v>659</v>
      </c>
      <c r="C31" s="110" t="s">
        <v>538</v>
      </c>
      <c r="D31" s="107" t="s">
        <v>661</v>
      </c>
      <c r="E31" s="107">
        <v>113.375377</v>
      </c>
      <c r="F31" s="107">
        <v>22.575429</v>
      </c>
      <c r="G31" s="107">
        <v>100</v>
      </c>
      <c r="H31" s="107">
        <v>3</v>
      </c>
    </row>
    <row r="32" s="106" customFormat="1" ht="15" customHeight="1" spans="1:8">
      <c r="A32" s="108">
        <v>32</v>
      </c>
      <c r="B32" s="109"/>
      <c r="C32" s="110" t="s">
        <v>662</v>
      </c>
      <c r="D32" s="107" t="s">
        <v>663</v>
      </c>
      <c r="E32" s="107">
        <v>113.38388</v>
      </c>
      <c r="F32" s="107">
        <v>22.51222</v>
      </c>
      <c r="G32" s="107"/>
      <c r="H32" s="107"/>
    </row>
    <row r="33" s="106" customFormat="1" ht="15" customHeight="1" spans="1:8">
      <c r="A33" s="108">
        <v>33</v>
      </c>
      <c r="B33" s="109" t="s">
        <v>659</v>
      </c>
      <c r="C33" s="110" t="s">
        <v>461</v>
      </c>
      <c r="D33" s="107" t="s">
        <v>664</v>
      </c>
      <c r="E33" s="107">
        <v>113.24216802</v>
      </c>
      <c r="F33" s="107">
        <v>22.6983245</v>
      </c>
      <c r="G33" s="107">
        <v>90</v>
      </c>
      <c r="H33" s="107">
        <v>2</v>
      </c>
    </row>
    <row r="34" s="106" customFormat="1" ht="15" customHeight="1" spans="1:8">
      <c r="A34" s="108">
        <v>34</v>
      </c>
      <c r="B34" s="109" t="s">
        <v>659</v>
      </c>
      <c r="C34" s="110" t="s">
        <v>466</v>
      </c>
      <c r="D34" s="107" t="s">
        <v>665</v>
      </c>
      <c r="E34" s="107">
        <v>113.344936</v>
      </c>
      <c r="F34" s="107">
        <v>22.669788</v>
      </c>
      <c r="G34" s="107">
        <v>100</v>
      </c>
      <c r="H34" s="107">
        <v>2</v>
      </c>
    </row>
    <row r="35" s="106" customFormat="1" ht="15" customHeight="1" spans="1:8">
      <c r="A35" s="108">
        <v>35</v>
      </c>
      <c r="B35" s="109" t="s">
        <v>659</v>
      </c>
      <c r="C35" s="110" t="s">
        <v>569</v>
      </c>
      <c r="D35" s="107" t="s">
        <v>666</v>
      </c>
      <c r="E35" s="107">
        <v>113.384036</v>
      </c>
      <c r="F35" s="107">
        <v>22.733125</v>
      </c>
      <c r="G35" s="107">
        <v>50</v>
      </c>
      <c r="H35" s="107">
        <v>2</v>
      </c>
    </row>
    <row r="36" s="106" customFormat="1" ht="15" customHeight="1" spans="1:8">
      <c r="A36" s="108">
        <v>36</v>
      </c>
      <c r="B36" s="109" t="s">
        <v>659</v>
      </c>
      <c r="C36" s="110" t="s">
        <v>588</v>
      </c>
      <c r="D36" s="107" t="s">
        <v>667</v>
      </c>
      <c r="E36" s="107">
        <v>113.4825</v>
      </c>
      <c r="F36" s="107">
        <v>22.662222</v>
      </c>
      <c r="G36" s="107">
        <v>50</v>
      </c>
      <c r="H36" s="107">
        <v>2</v>
      </c>
    </row>
    <row r="37" s="106" customFormat="1" ht="15" customHeight="1" spans="1:8">
      <c r="A37" s="108">
        <v>37</v>
      </c>
      <c r="B37" s="109" t="s">
        <v>659</v>
      </c>
      <c r="C37" s="110" t="s">
        <v>566</v>
      </c>
      <c r="D37" s="107" t="s">
        <v>668</v>
      </c>
      <c r="E37" s="107">
        <v>113.406144</v>
      </c>
      <c r="F37" s="107">
        <v>22.545657</v>
      </c>
      <c r="G37" s="107">
        <v>60</v>
      </c>
      <c r="H37" s="107">
        <v>2</v>
      </c>
    </row>
    <row r="38" s="106" customFormat="1" ht="15" customHeight="1" spans="1:8">
      <c r="A38" s="108">
        <v>38</v>
      </c>
      <c r="B38" s="109" t="s">
        <v>659</v>
      </c>
      <c r="C38" s="110" t="s">
        <v>573</v>
      </c>
      <c r="D38" s="107" t="s">
        <v>669</v>
      </c>
      <c r="E38" s="107">
        <v>113.37611</v>
      </c>
      <c r="F38" s="107">
        <v>22.348888</v>
      </c>
      <c r="G38" s="107">
        <v>50</v>
      </c>
      <c r="H38" s="107">
        <v>2</v>
      </c>
    </row>
    <row r="39" s="106" customFormat="1" ht="15" customHeight="1" spans="1:8">
      <c r="A39" s="108">
        <v>39</v>
      </c>
      <c r="B39" s="109" t="s">
        <v>670</v>
      </c>
      <c r="C39" s="110" t="s">
        <v>560</v>
      </c>
      <c r="D39" s="107" t="s">
        <v>671</v>
      </c>
      <c r="E39" s="107">
        <v>113.271597</v>
      </c>
      <c r="F39" s="107">
        <v>22.222705</v>
      </c>
      <c r="G39" s="107">
        <v>40</v>
      </c>
      <c r="H39" s="107">
        <v>1</v>
      </c>
    </row>
    <row r="40" s="106" customFormat="1" ht="15" customHeight="1" spans="1:8">
      <c r="A40" s="108">
        <v>40</v>
      </c>
      <c r="B40" s="109" t="s">
        <v>659</v>
      </c>
      <c r="C40" s="110" t="s">
        <v>606</v>
      </c>
      <c r="D40" s="107" t="s">
        <v>672</v>
      </c>
      <c r="E40" s="107">
        <v>113.251005</v>
      </c>
      <c r="F40" s="107">
        <v>22.305296</v>
      </c>
      <c r="G40" s="107">
        <v>90</v>
      </c>
      <c r="H40" s="107">
        <v>2</v>
      </c>
    </row>
    <row r="41" s="106" customFormat="1" ht="15" customHeight="1" spans="1:8">
      <c r="A41" s="108">
        <v>41</v>
      </c>
      <c r="B41" s="109" t="s">
        <v>670</v>
      </c>
      <c r="C41" s="110" t="s">
        <v>589</v>
      </c>
      <c r="D41" s="107" t="s">
        <v>673</v>
      </c>
      <c r="E41" s="107">
        <v>113.285811</v>
      </c>
      <c r="F41" s="107">
        <v>22.214722</v>
      </c>
      <c r="G41" s="107">
        <v>60</v>
      </c>
      <c r="H41" s="107">
        <v>2</v>
      </c>
    </row>
    <row r="42" s="106" customFormat="1" ht="15" customHeight="1" spans="1:8">
      <c r="A42" s="108">
        <v>42</v>
      </c>
      <c r="B42" s="109" t="s">
        <v>670</v>
      </c>
      <c r="C42" s="110" t="s">
        <v>574</v>
      </c>
      <c r="D42" s="107" t="s">
        <v>674</v>
      </c>
      <c r="E42" s="107">
        <v>113.45616</v>
      </c>
      <c r="F42" s="107">
        <v>22.327861</v>
      </c>
      <c r="G42" s="107">
        <v>90</v>
      </c>
      <c r="H42" s="107">
        <v>2</v>
      </c>
    </row>
    <row r="43" s="106" customFormat="1" ht="15" customHeight="1" spans="1:8">
      <c r="A43" s="108">
        <v>43</v>
      </c>
      <c r="B43" s="109" t="s">
        <v>659</v>
      </c>
      <c r="C43" s="110" t="s">
        <v>576</v>
      </c>
      <c r="D43" s="107" t="s">
        <v>675</v>
      </c>
      <c r="E43" s="107">
        <v>113.363333</v>
      </c>
      <c r="F43" s="107">
        <v>22.26805</v>
      </c>
      <c r="G43" s="107">
        <v>80</v>
      </c>
      <c r="H43" s="107">
        <v>2</v>
      </c>
    </row>
    <row r="44" s="106" customFormat="1" ht="15" customHeight="1" spans="1:8">
      <c r="A44" s="108">
        <v>44</v>
      </c>
      <c r="B44" s="109" t="s">
        <v>670</v>
      </c>
      <c r="C44" s="110" t="s">
        <v>562</v>
      </c>
      <c r="D44" s="107" t="s">
        <v>676</v>
      </c>
      <c r="E44" s="107">
        <v>113.526398</v>
      </c>
      <c r="F44" s="107">
        <v>22.571612</v>
      </c>
      <c r="G44" s="107">
        <v>80</v>
      </c>
      <c r="H44" s="107">
        <v>2</v>
      </c>
    </row>
    <row r="45" s="106" customFormat="1" ht="15" customHeight="1" spans="1:8">
      <c r="A45" s="108">
        <v>45</v>
      </c>
      <c r="B45" s="109" t="s">
        <v>659</v>
      </c>
      <c r="C45" s="110" t="s">
        <v>488</v>
      </c>
      <c r="D45" s="107" t="s">
        <v>677</v>
      </c>
      <c r="E45" s="107">
        <v>113.38713815</v>
      </c>
      <c r="F45" s="107">
        <v>22.51866034</v>
      </c>
      <c r="G45" s="107">
        <v>110</v>
      </c>
      <c r="H45" s="107">
        <v>2</v>
      </c>
    </row>
    <row r="46" s="106" customFormat="1" ht="15" customHeight="1" spans="1:8">
      <c r="A46" s="108">
        <v>46</v>
      </c>
      <c r="B46" s="109" t="s">
        <v>659</v>
      </c>
      <c r="C46" s="110" t="s">
        <v>607</v>
      </c>
      <c r="D46" s="107" t="s">
        <v>678</v>
      </c>
      <c r="E46" s="107">
        <v>113.33990567</v>
      </c>
      <c r="F46" s="107">
        <v>22.45752488</v>
      </c>
      <c r="G46" s="107">
        <v>240</v>
      </c>
      <c r="H46" s="107">
        <v>3</v>
      </c>
    </row>
    <row r="47" s="106" customFormat="1" ht="15" customHeight="1" spans="1:8">
      <c r="A47" s="108">
        <v>47</v>
      </c>
      <c r="B47" s="109" t="s">
        <v>659</v>
      </c>
      <c r="C47" s="110" t="s">
        <v>572</v>
      </c>
      <c r="D47" s="107" t="s">
        <v>679</v>
      </c>
      <c r="E47" s="107">
        <v>113.46317025</v>
      </c>
      <c r="F47" s="107">
        <v>22.70512134</v>
      </c>
      <c r="G47" s="107">
        <v>60</v>
      </c>
      <c r="H47" s="107">
        <v>2</v>
      </c>
    </row>
    <row r="48" s="106" customFormat="1" ht="15" customHeight="1" spans="1:8">
      <c r="A48" s="108">
        <v>48</v>
      </c>
      <c r="B48" s="109" t="s">
        <v>659</v>
      </c>
      <c r="C48" s="110" t="s">
        <v>567</v>
      </c>
      <c r="D48" s="107" t="s">
        <v>680</v>
      </c>
      <c r="E48" s="107">
        <v>113.4442999701</v>
      </c>
      <c r="F48" s="107">
        <v>22.5021247871</v>
      </c>
      <c r="G48" s="107">
        <v>80</v>
      </c>
      <c r="H48" s="107">
        <v>2</v>
      </c>
    </row>
    <row r="49" s="106" customFormat="1" ht="15" customHeight="1" spans="1:8">
      <c r="A49" s="108">
        <v>49</v>
      </c>
      <c r="B49" s="109" t="s">
        <v>659</v>
      </c>
      <c r="C49" s="110" t="s">
        <v>535</v>
      </c>
      <c r="D49" s="107" t="s">
        <v>681</v>
      </c>
      <c r="E49" s="107">
        <v>113.30719968</v>
      </c>
      <c r="F49" s="107">
        <v>22.59643489</v>
      </c>
      <c r="G49" s="107">
        <v>110</v>
      </c>
      <c r="H49" s="107">
        <v>2</v>
      </c>
    </row>
    <row r="50" s="106" customFormat="1" ht="15" customHeight="1" spans="1:8">
      <c r="A50" s="108">
        <v>50</v>
      </c>
      <c r="B50" s="109" t="s">
        <v>670</v>
      </c>
      <c r="C50" s="110" t="s">
        <v>682</v>
      </c>
      <c r="D50" s="107" t="s">
        <v>683</v>
      </c>
      <c r="E50" s="107">
        <v>113.252848</v>
      </c>
      <c r="F50" s="107">
        <v>22.211008</v>
      </c>
      <c r="G50" s="107"/>
      <c r="H50" s="107"/>
    </row>
    <row r="51" s="106" customFormat="1" ht="15" customHeight="1" spans="1:8">
      <c r="A51" s="108">
        <v>51</v>
      </c>
      <c r="B51" s="109" t="s">
        <v>659</v>
      </c>
      <c r="C51" s="110" t="s">
        <v>471</v>
      </c>
      <c r="D51" s="107" t="s">
        <v>684</v>
      </c>
      <c r="E51" s="107">
        <v>113.28436</v>
      </c>
      <c r="F51" s="107">
        <v>22.720929</v>
      </c>
      <c r="G51" s="107">
        <v>100</v>
      </c>
      <c r="H51" s="107">
        <v>2</v>
      </c>
    </row>
    <row r="52" s="106" customFormat="1" ht="15" customHeight="1" spans="1:8">
      <c r="A52" s="108">
        <v>52</v>
      </c>
      <c r="B52" s="109" t="s">
        <v>659</v>
      </c>
      <c r="C52" s="110" t="s">
        <v>581</v>
      </c>
      <c r="D52" s="107" t="s">
        <v>685</v>
      </c>
      <c r="E52" s="107">
        <v>113.396909</v>
      </c>
      <c r="F52" s="107">
        <v>22.415921</v>
      </c>
      <c r="G52" s="107">
        <v>90</v>
      </c>
      <c r="H52" s="107">
        <v>1</v>
      </c>
    </row>
    <row r="53" s="106" customFormat="1" ht="15" customHeight="1" spans="1:8">
      <c r="A53" s="108">
        <v>53</v>
      </c>
      <c r="B53" s="109" t="s">
        <v>659</v>
      </c>
      <c r="C53" s="110" t="s">
        <v>444</v>
      </c>
      <c r="D53" s="107" t="s">
        <v>686</v>
      </c>
      <c r="E53" s="107">
        <v>113.465731</v>
      </c>
      <c r="F53" s="107">
        <v>22.403737</v>
      </c>
      <c r="G53" s="107">
        <v>120</v>
      </c>
      <c r="H53" s="107">
        <v>1</v>
      </c>
    </row>
    <row r="54" s="106" customFormat="1" ht="15" customHeight="1" spans="1:8">
      <c r="A54" s="108">
        <v>54</v>
      </c>
      <c r="B54" s="109" t="s">
        <v>659</v>
      </c>
      <c r="C54" s="110" t="s">
        <v>580</v>
      </c>
      <c r="D54" s="107" t="s">
        <v>687</v>
      </c>
      <c r="E54" s="107">
        <v>113.40606424</v>
      </c>
      <c r="F54" s="107">
        <v>22.477713</v>
      </c>
      <c r="G54" s="107">
        <v>90</v>
      </c>
      <c r="H54" s="107">
        <v>2</v>
      </c>
    </row>
    <row r="55" s="106" customFormat="1" ht="15" customHeight="1" spans="1:8">
      <c r="A55" s="108">
        <v>55</v>
      </c>
      <c r="B55" s="109" t="s">
        <v>659</v>
      </c>
      <c r="C55" s="110" t="s">
        <v>480</v>
      </c>
      <c r="D55" s="107" t="s">
        <v>688</v>
      </c>
      <c r="E55" s="107">
        <v>113.259962</v>
      </c>
      <c r="F55" s="107">
        <v>22.482642</v>
      </c>
      <c r="G55" s="107">
        <v>100</v>
      </c>
      <c r="H55" s="107">
        <v>2</v>
      </c>
    </row>
    <row r="56" s="106" customFormat="1" ht="15" customHeight="1" spans="1:8">
      <c r="A56" s="108">
        <v>56</v>
      </c>
      <c r="B56" s="109" t="s">
        <v>659</v>
      </c>
      <c r="C56" s="110" t="s">
        <v>565</v>
      </c>
      <c r="D56" s="107" t="s">
        <v>689</v>
      </c>
      <c r="E56" s="107">
        <v>113.337129</v>
      </c>
      <c r="F56" s="107">
        <v>22.391896</v>
      </c>
      <c r="G56" s="107">
        <v>90</v>
      </c>
      <c r="H56" s="107">
        <v>2</v>
      </c>
    </row>
    <row r="57" s="106" customFormat="1" ht="15" customHeight="1" spans="1:8">
      <c r="A57" s="108">
        <v>57</v>
      </c>
      <c r="B57" s="109" t="s">
        <v>659</v>
      </c>
      <c r="C57" s="110" t="s">
        <v>592</v>
      </c>
      <c r="D57" s="107" t="s">
        <v>690</v>
      </c>
      <c r="E57" s="107">
        <v>113.355109</v>
      </c>
      <c r="F57" s="107">
        <v>22.3268138</v>
      </c>
      <c r="G57" s="107">
        <v>90</v>
      </c>
      <c r="H57" s="107">
        <v>2</v>
      </c>
    </row>
    <row r="58" s="106" customFormat="1" ht="15" customHeight="1" spans="1:8">
      <c r="A58" s="108">
        <v>58</v>
      </c>
      <c r="B58" s="109" t="s">
        <v>659</v>
      </c>
      <c r="C58" s="110" t="s">
        <v>563</v>
      </c>
      <c r="D58" s="107" t="s">
        <v>691</v>
      </c>
      <c r="E58" s="107">
        <v>113.564601</v>
      </c>
      <c r="F58" s="107">
        <v>22.531345</v>
      </c>
      <c r="G58" s="107">
        <v>90</v>
      </c>
      <c r="H58" s="107">
        <v>2</v>
      </c>
    </row>
    <row r="59" s="106" customFormat="1" ht="15" customHeight="1" spans="1:8">
      <c r="A59" s="108">
        <v>59</v>
      </c>
      <c r="B59" s="109" t="s">
        <v>670</v>
      </c>
      <c r="C59" s="110" t="s">
        <v>505</v>
      </c>
      <c r="D59" s="107" t="s">
        <v>692</v>
      </c>
      <c r="E59" s="107">
        <v>113.500073</v>
      </c>
      <c r="F59" s="107">
        <v>22.493019</v>
      </c>
      <c r="G59" s="107">
        <v>110</v>
      </c>
      <c r="H59" s="107">
        <v>2</v>
      </c>
    </row>
    <row r="60" s="106" customFormat="1" ht="15" customHeight="1" spans="1:8">
      <c r="A60" s="108">
        <v>60</v>
      </c>
      <c r="B60" s="109" t="s">
        <v>670</v>
      </c>
      <c r="C60" s="110" t="s">
        <v>608</v>
      </c>
      <c r="D60" s="107" t="s">
        <v>693</v>
      </c>
      <c r="E60" s="107">
        <v>113.342721</v>
      </c>
      <c r="F60" s="107">
        <v>22.252063</v>
      </c>
      <c r="G60" s="107">
        <v>100</v>
      </c>
      <c r="H60" s="107">
        <v>1</v>
      </c>
    </row>
    <row r="61" s="106" customFormat="1" ht="15" customHeight="1" spans="1:8">
      <c r="A61" s="108">
        <v>61</v>
      </c>
      <c r="B61" s="109" t="s">
        <v>659</v>
      </c>
      <c r="C61" s="110" t="s">
        <v>587</v>
      </c>
      <c r="D61" s="107" t="s">
        <v>694</v>
      </c>
      <c r="E61" s="107">
        <v>113.377922</v>
      </c>
      <c r="F61" s="107">
        <v>22.527035</v>
      </c>
      <c r="G61" s="107">
        <v>80</v>
      </c>
      <c r="H61" s="107">
        <v>2</v>
      </c>
    </row>
    <row r="62" s="106" customFormat="1" ht="15" customHeight="1" spans="1:8">
      <c r="A62" s="108">
        <v>62</v>
      </c>
      <c r="B62" s="109" t="s">
        <v>659</v>
      </c>
      <c r="C62" s="110" t="s">
        <v>439</v>
      </c>
      <c r="D62" s="107" t="s">
        <v>695</v>
      </c>
      <c r="E62" s="107">
        <v>113.457785</v>
      </c>
      <c r="F62" s="107">
        <v>22.278524</v>
      </c>
      <c r="G62" s="107">
        <v>220</v>
      </c>
      <c r="H62" s="107">
        <v>2</v>
      </c>
    </row>
    <row r="63" s="106" customFormat="1" ht="15" customHeight="1" spans="1:8">
      <c r="A63" s="108">
        <v>63</v>
      </c>
      <c r="B63" s="109" t="s">
        <v>659</v>
      </c>
      <c r="C63" s="110" t="s">
        <v>455</v>
      </c>
      <c r="D63" s="107" t="s">
        <v>696</v>
      </c>
      <c r="E63" s="107">
        <v>113.18316</v>
      </c>
      <c r="F63" s="107">
        <v>22.401541</v>
      </c>
      <c r="G63" s="107">
        <v>120</v>
      </c>
      <c r="H63" s="107">
        <v>2</v>
      </c>
    </row>
    <row r="64" s="106" customFormat="1" ht="15" customHeight="1" spans="1:8">
      <c r="A64" s="108">
        <v>64</v>
      </c>
      <c r="B64" s="109" t="s">
        <v>659</v>
      </c>
      <c r="C64" s="110" t="s">
        <v>583</v>
      </c>
      <c r="D64" s="107" t="s">
        <v>697</v>
      </c>
      <c r="E64" s="107">
        <v>113.132282</v>
      </c>
      <c r="F64" s="107">
        <v>22.344945</v>
      </c>
      <c r="G64" s="107">
        <v>90</v>
      </c>
      <c r="H64" s="107">
        <v>2</v>
      </c>
    </row>
    <row r="65" s="106" customFormat="1" ht="15" customHeight="1" spans="1:8">
      <c r="A65" s="108">
        <v>65</v>
      </c>
      <c r="B65" s="109" t="s">
        <v>659</v>
      </c>
      <c r="C65" s="110" t="s">
        <v>585</v>
      </c>
      <c r="D65" s="107" t="s">
        <v>698</v>
      </c>
      <c r="E65" s="107">
        <v>113.308336</v>
      </c>
      <c r="F65" s="107">
        <v>22.538955</v>
      </c>
      <c r="G65" s="107">
        <v>90</v>
      </c>
      <c r="H65" s="107">
        <v>2</v>
      </c>
    </row>
    <row r="66" s="106" customFormat="1" ht="15" customHeight="1" spans="1:8">
      <c r="A66" s="108">
        <v>66</v>
      </c>
      <c r="B66" s="109" t="s">
        <v>659</v>
      </c>
      <c r="C66" s="110" t="s">
        <v>525</v>
      </c>
      <c r="D66" s="107" t="s">
        <v>699</v>
      </c>
      <c r="E66" s="107">
        <v>113.274392</v>
      </c>
      <c r="F66" s="107">
        <v>22.333755</v>
      </c>
      <c r="G66" s="107">
        <v>100</v>
      </c>
      <c r="H66" s="107">
        <v>2</v>
      </c>
    </row>
    <row r="67" s="106" customFormat="1" ht="15" customHeight="1" spans="1:8">
      <c r="A67" s="108">
        <v>67</v>
      </c>
      <c r="B67" s="109" t="s">
        <v>659</v>
      </c>
      <c r="C67" s="110" t="s">
        <v>597</v>
      </c>
      <c r="D67" s="107" t="s">
        <v>700</v>
      </c>
      <c r="E67" s="107">
        <v>113.517884</v>
      </c>
      <c r="F67" s="107">
        <v>22.260487</v>
      </c>
      <c r="G67" s="107">
        <v>60</v>
      </c>
      <c r="H67" s="107">
        <v>2</v>
      </c>
    </row>
    <row r="68" s="106" customFormat="1" ht="15" customHeight="1" spans="1:8">
      <c r="A68" s="108">
        <v>68</v>
      </c>
      <c r="B68" s="109" t="s">
        <v>659</v>
      </c>
      <c r="C68" s="110" t="s">
        <v>582</v>
      </c>
      <c r="D68" s="107" t="s">
        <v>701</v>
      </c>
      <c r="E68" s="107">
        <v>113.224381</v>
      </c>
      <c r="F68" s="107">
        <v>22.651591</v>
      </c>
      <c r="G68" s="107">
        <v>70</v>
      </c>
      <c r="H68" s="107">
        <v>2</v>
      </c>
    </row>
    <row r="69" s="106" customFormat="1" ht="15" customHeight="1" spans="1:8">
      <c r="A69" s="108">
        <v>69</v>
      </c>
      <c r="B69" s="109" t="s">
        <v>659</v>
      </c>
      <c r="C69" s="110" t="s">
        <v>531</v>
      </c>
      <c r="D69" s="107" t="s">
        <v>702</v>
      </c>
      <c r="E69" s="107">
        <v>113.377153</v>
      </c>
      <c r="F69" s="107">
        <v>22.482958</v>
      </c>
      <c r="G69" s="107">
        <v>50</v>
      </c>
      <c r="H69" s="107">
        <v>2</v>
      </c>
    </row>
    <row r="70" s="106" customFormat="1" ht="15" customHeight="1" spans="1:8">
      <c r="A70" s="108">
        <v>70</v>
      </c>
      <c r="B70" s="109" t="s">
        <v>659</v>
      </c>
      <c r="C70" s="110" t="s">
        <v>561</v>
      </c>
      <c r="D70" s="107" t="s">
        <v>703</v>
      </c>
      <c r="E70" s="107">
        <v>113.310313</v>
      </c>
      <c r="F70" s="107">
        <v>22.323843</v>
      </c>
      <c r="G70" s="107">
        <v>90</v>
      </c>
      <c r="H70" s="107">
        <v>2</v>
      </c>
    </row>
    <row r="71" s="106" customFormat="1" ht="15" customHeight="1" spans="1:8">
      <c r="A71" s="108">
        <v>71</v>
      </c>
      <c r="B71" s="109" t="s">
        <v>659</v>
      </c>
      <c r="C71" s="110" t="s">
        <v>515</v>
      </c>
      <c r="D71" s="107" t="s">
        <v>704</v>
      </c>
      <c r="E71" s="107">
        <v>113.3926114</v>
      </c>
      <c r="F71" s="107">
        <v>22.584853</v>
      </c>
      <c r="G71" s="107">
        <v>110</v>
      </c>
      <c r="H71" s="107">
        <v>2</v>
      </c>
    </row>
    <row r="72" s="106" customFormat="1" ht="15" customHeight="1" spans="1:8">
      <c r="A72" s="108">
        <v>72</v>
      </c>
      <c r="B72" s="109" t="s">
        <v>659</v>
      </c>
      <c r="C72" s="110" t="s">
        <v>593</v>
      </c>
      <c r="D72" s="107" t="s">
        <v>705</v>
      </c>
      <c r="E72" s="107">
        <v>113.174971</v>
      </c>
      <c r="F72" s="107">
        <v>22.663719</v>
      </c>
      <c r="G72" s="107">
        <v>100</v>
      </c>
      <c r="H72" s="107">
        <v>2</v>
      </c>
    </row>
    <row r="73" s="106" customFormat="1" ht="15" customHeight="1" spans="1:8">
      <c r="A73" s="108">
        <v>73</v>
      </c>
      <c r="B73" s="109" t="s">
        <v>706</v>
      </c>
      <c r="C73" s="110" t="s">
        <v>579</v>
      </c>
      <c r="D73" s="107" t="s">
        <v>707</v>
      </c>
      <c r="E73" s="107" t="s">
        <v>708</v>
      </c>
      <c r="F73" s="107" t="s">
        <v>709</v>
      </c>
      <c r="G73" s="107">
        <v>40</v>
      </c>
      <c r="H73" s="107">
        <v>1</v>
      </c>
    </row>
    <row r="74" s="106" customFormat="1" ht="15" customHeight="1" spans="1:8">
      <c r="A74" s="108">
        <v>74</v>
      </c>
      <c r="B74" s="109" t="s">
        <v>706</v>
      </c>
      <c r="C74" s="110" t="s">
        <v>603</v>
      </c>
      <c r="D74" s="107" t="s">
        <v>710</v>
      </c>
      <c r="E74" s="107">
        <v>113.51033</v>
      </c>
      <c r="F74" s="107">
        <v>22.680063</v>
      </c>
      <c r="G74" s="107"/>
      <c r="H74" s="107">
        <v>1</v>
      </c>
    </row>
    <row r="75" s="106" customFormat="1" ht="15" customHeight="1" spans="1:8">
      <c r="A75" s="108">
        <v>75</v>
      </c>
      <c r="B75" s="109" t="s">
        <v>706</v>
      </c>
      <c r="C75" s="110" t="s">
        <v>604</v>
      </c>
      <c r="D75" s="107" t="s">
        <v>711</v>
      </c>
      <c r="E75" s="107">
        <v>113.350361</v>
      </c>
      <c r="F75" s="107">
        <v>22.757275</v>
      </c>
      <c r="G75" s="107"/>
      <c r="H75" s="107">
        <v>1</v>
      </c>
    </row>
    <row r="76" s="106" customFormat="1" ht="15" customHeight="1" spans="1:8">
      <c r="A76" s="108">
        <v>76</v>
      </c>
      <c r="B76" s="109" t="s">
        <v>670</v>
      </c>
      <c r="C76" s="110" t="s">
        <v>605</v>
      </c>
      <c r="D76" s="107" t="s">
        <v>712</v>
      </c>
      <c r="E76" s="107">
        <v>113.170027</v>
      </c>
      <c r="F76" s="107">
        <v>22.624322</v>
      </c>
      <c r="G76" s="107"/>
      <c r="H76" s="107">
        <v>2</v>
      </c>
    </row>
    <row r="77" s="106" customFormat="1" ht="15" customHeight="1" spans="1:8">
      <c r="A77" s="108">
        <v>77</v>
      </c>
      <c r="B77" s="109" t="s">
        <v>706</v>
      </c>
      <c r="C77" s="110" t="s">
        <v>564</v>
      </c>
      <c r="D77" s="107" t="s">
        <v>713</v>
      </c>
      <c r="E77" s="107" t="s">
        <v>714</v>
      </c>
      <c r="F77" s="107" t="s">
        <v>715</v>
      </c>
      <c r="G77" s="107"/>
      <c r="H77" s="107">
        <v>1</v>
      </c>
    </row>
    <row r="78" s="106" customFormat="1" ht="15" customHeight="1" spans="1:8">
      <c r="A78" s="108">
        <v>78</v>
      </c>
      <c r="B78" s="109" t="s">
        <v>716</v>
      </c>
      <c r="C78" s="110" t="s">
        <v>487</v>
      </c>
      <c r="D78" s="107" t="s">
        <v>717</v>
      </c>
      <c r="E78" s="107">
        <v>113.600481</v>
      </c>
      <c r="F78" s="107">
        <v>22.551425</v>
      </c>
      <c r="G78" s="107"/>
      <c r="H78" s="107">
        <v>3</v>
      </c>
    </row>
    <row r="79" s="106" customFormat="1" ht="15" customHeight="1" spans="1:8">
      <c r="A79" s="108">
        <v>79</v>
      </c>
      <c r="B79" s="109" t="s">
        <v>716</v>
      </c>
      <c r="C79" s="110" t="s">
        <v>509</v>
      </c>
      <c r="D79" s="107" t="s">
        <v>718</v>
      </c>
      <c r="E79" s="107">
        <v>113.710592</v>
      </c>
      <c r="F79" s="107">
        <v>22.562472</v>
      </c>
      <c r="G79" s="107"/>
      <c r="H79" s="107">
        <v>2</v>
      </c>
    </row>
    <row r="80" ht="15" customHeight="1" spans="1:8">
      <c r="A80" s="108">
        <v>79</v>
      </c>
      <c r="B80" s="109" t="s">
        <v>716</v>
      </c>
      <c r="C80" s="110" t="s">
        <v>591</v>
      </c>
      <c r="D80" s="107" t="s">
        <v>718</v>
      </c>
      <c r="E80" s="107">
        <v>113.76602832</v>
      </c>
      <c r="F80" s="107">
        <v>22.57329719</v>
      </c>
      <c r="G80" s="107"/>
      <c r="H80" s="107">
        <v>2</v>
      </c>
    </row>
  </sheetData>
  <pageMargins left="0.75" right="0.75" top="1" bottom="1" header="0.5" footer="0.5"/>
  <pageSetup paperSize="9" scale="77"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6"/>
  <sheetViews>
    <sheetView zoomScale="85" zoomScaleNormal="85" topLeftCell="A4" workbookViewId="0">
      <selection activeCell="A2" sqref="A2:F6"/>
    </sheetView>
  </sheetViews>
  <sheetFormatPr defaultColWidth="8.88333333333333" defaultRowHeight="13.5" outlineLevelRow="5" outlineLevelCol="5"/>
  <cols>
    <col min="2" max="2" width="31.8833333333333" customWidth="1"/>
    <col min="3" max="3" width="58.3833333333333" customWidth="1"/>
    <col min="4" max="4" width="13.1333333333333" customWidth="1"/>
    <col min="5" max="5" width="19.5" customWidth="1"/>
    <col min="6" max="6" width="27.6333333333333" customWidth="1"/>
  </cols>
  <sheetData>
    <row r="2" ht="27" customHeight="1" spans="1:6">
      <c r="A2" s="100" t="s">
        <v>430</v>
      </c>
      <c r="B2" s="100" t="s">
        <v>719</v>
      </c>
      <c r="C2" s="100" t="s">
        <v>720</v>
      </c>
      <c r="D2" s="100" t="s">
        <v>721</v>
      </c>
      <c r="E2" s="100" t="s">
        <v>722</v>
      </c>
      <c r="F2" s="100" t="s">
        <v>723</v>
      </c>
    </row>
    <row r="3" ht="110.1" customHeight="1" spans="1:6">
      <c r="A3" s="101">
        <v>1</v>
      </c>
      <c r="B3" s="102" t="s">
        <v>724</v>
      </c>
      <c r="C3" s="102" t="s">
        <v>725</v>
      </c>
      <c r="D3" s="101">
        <v>298</v>
      </c>
      <c r="E3" s="103">
        <f>估算清单!H42</f>
        <v>2139.45</v>
      </c>
      <c r="F3" s="104">
        <f>E3/D3</f>
        <v>7.17936241610738</v>
      </c>
    </row>
    <row r="4" ht="240" customHeight="1" spans="1:6">
      <c r="A4" s="101">
        <v>2</v>
      </c>
      <c r="B4" s="102" t="s">
        <v>726</v>
      </c>
      <c r="C4" s="102" t="s">
        <v>727</v>
      </c>
      <c r="D4" s="101">
        <f>D3+10</f>
        <v>308</v>
      </c>
      <c r="E4" s="103">
        <f>估算清单!H103</f>
        <v>4865.40165</v>
      </c>
      <c r="F4" s="104">
        <f>E4/D4</f>
        <v>15.7967586038961</v>
      </c>
    </row>
    <row r="5" ht="179.1" customHeight="1" spans="1:6">
      <c r="A5" s="105">
        <v>3</v>
      </c>
      <c r="B5" s="102" t="s">
        <v>728</v>
      </c>
      <c r="C5" s="102" t="s">
        <v>729</v>
      </c>
      <c r="D5" s="105">
        <f>2*207+2*2+27*2</f>
        <v>472</v>
      </c>
      <c r="E5" s="103">
        <f>72285700/10000</f>
        <v>7228.57</v>
      </c>
      <c r="F5" s="104">
        <f>E5/D5</f>
        <v>15.3147669491525</v>
      </c>
    </row>
    <row r="6" ht="147.95" customHeight="1" spans="1:6">
      <c r="A6" s="105">
        <v>4</v>
      </c>
      <c r="B6" s="102" t="s">
        <v>730</v>
      </c>
      <c r="C6" s="102" t="s">
        <v>731</v>
      </c>
      <c r="D6" s="102">
        <f>17*6+5*6</f>
        <v>132</v>
      </c>
      <c r="E6" s="103">
        <f>18731900/10000</f>
        <v>1873.19</v>
      </c>
      <c r="F6" s="104">
        <f>E6/D6</f>
        <v>14.1908333333333</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5"/>
  <sheetViews>
    <sheetView zoomScale="85" zoomScaleNormal="85" topLeftCell="B7" workbookViewId="0">
      <selection activeCell="U19" sqref="U19"/>
    </sheetView>
  </sheetViews>
  <sheetFormatPr defaultColWidth="8.88333333333333" defaultRowHeight="13.5"/>
  <cols>
    <col min="1" max="7" width="11.8833333333333" customWidth="1"/>
    <col min="11" max="11" width="16.6333333333333" customWidth="1"/>
    <col min="12" max="13" width="11.6333333333333" customWidth="1"/>
    <col min="14" max="15" width="8.88333333333333" customWidth="1"/>
    <col min="16" max="16" width="9.75833333333333" customWidth="1"/>
    <col min="17" max="17" width="8.88333333333333" customWidth="1"/>
    <col min="18" max="18" width="12.1333333333333" customWidth="1"/>
    <col min="21" max="21" width="10.7583333333333"/>
    <col min="22" max="22" width="14.1333333333333"/>
  </cols>
  <sheetData>
    <row r="1" ht="27.75" spans="1:7">
      <c r="A1" s="79" t="s">
        <v>732</v>
      </c>
      <c r="B1" s="80" t="s">
        <v>733</v>
      </c>
      <c r="C1" s="80" t="s">
        <v>734</v>
      </c>
      <c r="D1" s="84"/>
      <c r="E1" s="79" t="s">
        <v>735</v>
      </c>
      <c r="F1" s="79" t="s">
        <v>736</v>
      </c>
      <c r="G1" s="80" t="s">
        <v>9</v>
      </c>
    </row>
    <row r="2" ht="18.95" customHeight="1" spans="1:7">
      <c r="A2" s="85">
        <v>1</v>
      </c>
      <c r="B2" s="86">
        <v>1</v>
      </c>
      <c r="C2" s="87">
        <v>0.05</v>
      </c>
      <c r="D2" s="84">
        <f>C2/0.167</f>
        <v>0.29940119760479</v>
      </c>
      <c r="E2" s="84">
        <f>D2*6</f>
        <v>1.79640718562874</v>
      </c>
      <c r="F2" s="84">
        <f>E2/6</f>
        <v>0.29940119760479</v>
      </c>
      <c r="G2" s="86" t="s">
        <v>737</v>
      </c>
    </row>
    <row r="3" ht="18.95" customHeight="1" spans="1:7">
      <c r="A3" s="85">
        <v>2</v>
      </c>
      <c r="B3" s="86">
        <v>3</v>
      </c>
      <c r="C3" s="87">
        <v>0.7876</v>
      </c>
      <c r="D3" s="84">
        <f t="shared" ref="D3:D17" si="0">C3/0.167</f>
        <v>4.71616766467066</v>
      </c>
      <c r="E3" s="84">
        <f t="shared" ref="E3:E17" si="1">D3*6</f>
        <v>28.297005988024</v>
      </c>
      <c r="F3" s="84">
        <f t="shared" ref="F3:F17" si="2">E3/6</f>
        <v>4.71616766467066</v>
      </c>
      <c r="G3" s="86" t="s">
        <v>737</v>
      </c>
    </row>
    <row r="4" ht="18.95" customHeight="1" spans="1:7">
      <c r="A4" s="85">
        <v>3</v>
      </c>
      <c r="B4" s="86">
        <v>5</v>
      </c>
      <c r="C4" s="87">
        <v>1.905</v>
      </c>
      <c r="D4" s="84">
        <f t="shared" si="0"/>
        <v>11.4071856287425</v>
      </c>
      <c r="E4" s="84">
        <f t="shared" si="1"/>
        <v>68.4431137724551</v>
      </c>
      <c r="F4" s="84">
        <f t="shared" si="2"/>
        <v>11.4071856287425</v>
      </c>
      <c r="G4" s="86" t="s">
        <v>737</v>
      </c>
    </row>
    <row r="5" ht="18.95" customHeight="1" spans="1:7">
      <c r="A5" s="85">
        <v>4</v>
      </c>
      <c r="B5" s="86">
        <v>7</v>
      </c>
      <c r="C5" s="87">
        <v>3.188</v>
      </c>
      <c r="D5" s="84">
        <f t="shared" si="0"/>
        <v>19.0898203592814</v>
      </c>
      <c r="E5" s="84">
        <f t="shared" si="1"/>
        <v>114.538922155689</v>
      </c>
      <c r="F5" s="84">
        <f t="shared" si="2"/>
        <v>19.0898203592814</v>
      </c>
      <c r="G5" s="86" t="s">
        <v>737</v>
      </c>
    </row>
    <row r="6" ht="18.95" customHeight="1" spans="1:7">
      <c r="A6" s="85">
        <v>5</v>
      </c>
      <c r="B6" s="86">
        <v>9</v>
      </c>
      <c r="C6" s="87">
        <v>4.569</v>
      </c>
      <c r="D6" s="84">
        <f t="shared" si="0"/>
        <v>27.3592814371257</v>
      </c>
      <c r="E6" s="84">
        <f t="shared" si="1"/>
        <v>164.155688622754</v>
      </c>
      <c r="F6" s="84">
        <f t="shared" si="2"/>
        <v>27.3592814371257</v>
      </c>
      <c r="G6" s="86" t="s">
        <v>737</v>
      </c>
    </row>
    <row r="7" ht="18.95" customHeight="1" spans="1:7">
      <c r="A7" s="85">
        <v>6</v>
      </c>
      <c r="B7" s="86">
        <v>11</v>
      </c>
      <c r="C7" s="87">
        <v>6.015</v>
      </c>
      <c r="D7" s="84">
        <f t="shared" si="0"/>
        <v>36.0179640718563</v>
      </c>
      <c r="E7" s="84">
        <f t="shared" si="1"/>
        <v>216.107784431138</v>
      </c>
      <c r="F7" s="84">
        <f t="shared" si="2"/>
        <v>36.0179640718563</v>
      </c>
      <c r="G7" s="86" t="s">
        <v>737</v>
      </c>
    </row>
    <row r="8" ht="18.95" customHeight="1" spans="1:7">
      <c r="A8" s="85">
        <v>7</v>
      </c>
      <c r="B8" s="86">
        <v>13</v>
      </c>
      <c r="C8" s="87">
        <v>7.511</v>
      </c>
      <c r="D8" s="84">
        <f t="shared" si="0"/>
        <v>44.9760479041916</v>
      </c>
      <c r="E8" s="84">
        <f t="shared" si="1"/>
        <v>269.85628742515</v>
      </c>
      <c r="F8" s="84">
        <f t="shared" si="2"/>
        <v>44.9760479041916</v>
      </c>
      <c r="G8" s="86" t="s">
        <v>737</v>
      </c>
    </row>
    <row r="9" ht="18.95" customHeight="1" spans="1:7">
      <c r="A9" s="85">
        <v>8</v>
      </c>
      <c r="B9" s="86">
        <v>15</v>
      </c>
      <c r="C9" s="87">
        <v>9.044</v>
      </c>
      <c r="D9" s="84">
        <f t="shared" si="0"/>
        <v>54.1556886227545</v>
      </c>
      <c r="E9" s="84">
        <f t="shared" si="1"/>
        <v>324.934131736527</v>
      </c>
      <c r="F9" s="84">
        <f t="shared" si="2"/>
        <v>54.1556886227545</v>
      </c>
      <c r="G9" s="86" t="s">
        <v>737</v>
      </c>
    </row>
    <row r="10" ht="18.95" customHeight="1" spans="1:7">
      <c r="A10" s="85">
        <v>9</v>
      </c>
      <c r="B10" s="86">
        <v>17</v>
      </c>
      <c r="C10" s="87">
        <v>10.61</v>
      </c>
      <c r="D10" s="84">
        <f t="shared" si="0"/>
        <v>63.5329341317365</v>
      </c>
      <c r="E10" s="84">
        <f t="shared" si="1"/>
        <v>381.197604790419</v>
      </c>
      <c r="F10" s="84">
        <f t="shared" si="2"/>
        <v>63.5329341317365</v>
      </c>
      <c r="G10" s="86" t="s">
        <v>737</v>
      </c>
    </row>
    <row r="11" ht="18.95" customHeight="1" spans="1:7">
      <c r="A11" s="85">
        <v>10</v>
      </c>
      <c r="B11" s="86">
        <v>19</v>
      </c>
      <c r="C11" s="87">
        <v>12.2</v>
      </c>
      <c r="D11" s="84">
        <f t="shared" si="0"/>
        <v>73.0538922155689</v>
      </c>
      <c r="E11" s="84">
        <f t="shared" si="1"/>
        <v>438.323353293413</v>
      </c>
      <c r="F11" s="84">
        <f t="shared" si="2"/>
        <v>73.0538922155689</v>
      </c>
      <c r="G11" s="86" t="s">
        <v>737</v>
      </c>
    </row>
    <row r="12" ht="18.95" customHeight="1" spans="1:7">
      <c r="A12" s="85">
        <v>11</v>
      </c>
      <c r="B12" s="86">
        <v>21</v>
      </c>
      <c r="C12" s="87">
        <v>13.81</v>
      </c>
      <c r="D12" s="84">
        <f t="shared" si="0"/>
        <v>82.6946107784431</v>
      </c>
      <c r="E12" s="84">
        <f t="shared" si="1"/>
        <v>496.167664670659</v>
      </c>
      <c r="F12" s="84">
        <f t="shared" si="2"/>
        <v>82.6946107784431</v>
      </c>
      <c r="G12" s="86" t="s">
        <v>737</v>
      </c>
    </row>
    <row r="13" ht="18.95" customHeight="1" spans="1:7">
      <c r="A13" s="85">
        <v>12</v>
      </c>
      <c r="B13" s="86">
        <v>23</v>
      </c>
      <c r="C13" s="87">
        <v>15.43</v>
      </c>
      <c r="D13" s="84">
        <f t="shared" si="0"/>
        <v>92.3952095808383</v>
      </c>
      <c r="E13" s="84">
        <f t="shared" si="1"/>
        <v>554.37125748503</v>
      </c>
      <c r="F13" s="84">
        <f t="shared" si="2"/>
        <v>92.3952095808383</v>
      </c>
      <c r="G13" s="86" t="s">
        <v>737</v>
      </c>
    </row>
    <row r="14" ht="18.95" customHeight="1" spans="1:7">
      <c r="A14" s="85">
        <v>13</v>
      </c>
      <c r="B14" s="86">
        <v>25</v>
      </c>
      <c r="C14" s="87">
        <v>17.08</v>
      </c>
      <c r="D14" s="84">
        <f t="shared" si="0"/>
        <v>102.275449101796</v>
      </c>
      <c r="E14" s="84">
        <f t="shared" si="1"/>
        <v>613.652694610778</v>
      </c>
      <c r="F14" s="84">
        <f t="shared" si="2"/>
        <v>102.275449101796</v>
      </c>
      <c r="G14" s="86" t="s">
        <v>737</v>
      </c>
    </row>
    <row r="15" ht="18.95" customHeight="1" spans="1:7">
      <c r="A15" s="85">
        <v>14</v>
      </c>
      <c r="B15" s="86">
        <v>27</v>
      </c>
      <c r="C15" s="87">
        <v>18.74</v>
      </c>
      <c r="D15" s="84">
        <f t="shared" si="0"/>
        <v>112.215568862275</v>
      </c>
      <c r="E15" s="84">
        <f t="shared" si="1"/>
        <v>673.293413173653</v>
      </c>
      <c r="F15" s="84">
        <f t="shared" si="2"/>
        <v>112.215568862275</v>
      </c>
      <c r="G15" s="86" t="s">
        <v>737</v>
      </c>
    </row>
    <row r="16" ht="18.95" customHeight="1" spans="1:7">
      <c r="A16" s="85">
        <v>15</v>
      </c>
      <c r="B16" s="86">
        <v>29</v>
      </c>
      <c r="C16" s="87">
        <v>20.41</v>
      </c>
      <c r="D16" s="84">
        <f t="shared" si="0"/>
        <v>122.215568862275</v>
      </c>
      <c r="E16" s="84">
        <f t="shared" si="1"/>
        <v>733.293413173653</v>
      </c>
      <c r="F16" s="84">
        <f t="shared" si="2"/>
        <v>122.215568862275</v>
      </c>
      <c r="G16" s="86" t="s">
        <v>737</v>
      </c>
    </row>
    <row r="17" ht="18.95" customHeight="1" spans="1:7">
      <c r="A17" s="85">
        <v>16</v>
      </c>
      <c r="B17" s="86">
        <v>31</v>
      </c>
      <c r="C17" s="87">
        <v>22.09</v>
      </c>
      <c r="D17" s="84">
        <f t="shared" si="0"/>
        <v>132.275449101796</v>
      </c>
      <c r="E17" s="84">
        <f t="shared" si="1"/>
        <v>793.652694610778</v>
      </c>
      <c r="F17" s="84">
        <f t="shared" si="2"/>
        <v>132.275449101796</v>
      </c>
      <c r="G17" s="86" t="s">
        <v>737</v>
      </c>
    </row>
    <row r="18" ht="14.25" spans="15:22">
      <c r="O18" s="88">
        <v>1200</v>
      </c>
      <c r="P18" s="89">
        <v>1</v>
      </c>
      <c r="Q18" s="89">
        <v>0.6</v>
      </c>
      <c r="T18">
        <v>24</v>
      </c>
      <c r="U18" s="94">
        <f>(P18/1000*T18*30*0.65)*O18*Q18</f>
        <v>336.96</v>
      </c>
      <c r="V18">
        <f>U18*12</f>
        <v>4043.52</v>
      </c>
    </row>
    <row r="19" ht="14.25"/>
    <row r="20" ht="24.75" spans="11:22">
      <c r="K20" s="90" t="s">
        <v>1</v>
      </c>
      <c r="L20" s="90" t="s">
        <v>738</v>
      </c>
      <c r="M20" s="90" t="s">
        <v>739</v>
      </c>
      <c r="N20" s="90" t="s">
        <v>169</v>
      </c>
      <c r="O20" s="90" t="s">
        <v>740</v>
      </c>
      <c r="P20" s="90" t="s">
        <v>741</v>
      </c>
      <c r="Q20" s="90" t="s">
        <v>742</v>
      </c>
      <c r="R20" s="90" t="s">
        <v>743</v>
      </c>
      <c r="S20" s="95"/>
      <c r="T20" s="96" t="s">
        <v>744</v>
      </c>
      <c r="U20" s="96" t="s">
        <v>745</v>
      </c>
      <c r="V20" s="96" t="s">
        <v>746</v>
      </c>
    </row>
    <row r="21" ht="14.25" spans="11:22">
      <c r="K21" s="91" t="s">
        <v>747</v>
      </c>
      <c r="L21" s="88" t="s">
        <v>748</v>
      </c>
      <c r="M21" s="88" t="s">
        <v>749</v>
      </c>
      <c r="N21" s="88">
        <v>2</v>
      </c>
      <c r="O21" s="88">
        <v>650</v>
      </c>
      <c r="P21" s="89"/>
      <c r="Q21" s="89">
        <v>0.5</v>
      </c>
      <c r="R21" s="88">
        <f>O21*Q21</f>
        <v>325</v>
      </c>
      <c r="S21" s="97"/>
      <c r="T21" s="98">
        <v>24</v>
      </c>
      <c r="U21" s="94">
        <f t="shared" ref="U21:U26" si="3">(P21/1000*T21*30*0.65)*O21*Q21</f>
        <v>0</v>
      </c>
      <c r="V21" s="99">
        <f t="shared" ref="V21:V26" si="4">U21*36</f>
        <v>0</v>
      </c>
    </row>
    <row r="22" ht="14.25" spans="11:22">
      <c r="K22" s="91" t="s">
        <v>750</v>
      </c>
      <c r="L22" s="88" t="s">
        <v>751</v>
      </c>
      <c r="M22" s="88" t="s">
        <v>752</v>
      </c>
      <c r="N22" s="88">
        <v>4</v>
      </c>
      <c r="O22" s="88">
        <v>1200</v>
      </c>
      <c r="P22" s="89">
        <v>67</v>
      </c>
      <c r="Q22" s="89">
        <v>0.5</v>
      </c>
      <c r="R22" s="88">
        <f t="shared" ref="R22:R27" si="5">O22*Q22</f>
        <v>600</v>
      </c>
      <c r="S22" s="97"/>
      <c r="T22" s="98">
        <v>24</v>
      </c>
      <c r="U22" s="94">
        <f t="shared" si="3"/>
        <v>18813.6</v>
      </c>
      <c r="V22" s="99">
        <f t="shared" si="4"/>
        <v>677289.6</v>
      </c>
    </row>
    <row r="23" ht="14.25" spans="11:22">
      <c r="K23" s="91" t="s">
        <v>753</v>
      </c>
      <c r="L23" s="88" t="s">
        <v>754</v>
      </c>
      <c r="M23" s="88" t="s">
        <v>755</v>
      </c>
      <c r="N23" s="88">
        <v>6</v>
      </c>
      <c r="O23" s="88">
        <v>1600</v>
      </c>
      <c r="P23" s="89">
        <v>6</v>
      </c>
      <c r="Q23" s="89">
        <v>0.5</v>
      </c>
      <c r="R23" s="88">
        <f t="shared" si="5"/>
        <v>800</v>
      </c>
      <c r="S23" s="97"/>
      <c r="T23" s="98">
        <v>24</v>
      </c>
      <c r="U23" s="94">
        <f t="shared" si="3"/>
        <v>2246.4</v>
      </c>
      <c r="V23" s="99">
        <f t="shared" si="4"/>
        <v>80870.4</v>
      </c>
    </row>
    <row r="24" ht="14.25" spans="11:22">
      <c r="K24" s="91" t="s">
        <v>756</v>
      </c>
      <c r="L24" s="88" t="s">
        <v>757</v>
      </c>
      <c r="M24" s="88" t="s">
        <v>758</v>
      </c>
      <c r="N24" s="88">
        <v>8</v>
      </c>
      <c r="O24" s="88">
        <v>2000</v>
      </c>
      <c r="P24" s="89"/>
      <c r="Q24" s="89">
        <v>0.5</v>
      </c>
      <c r="R24" s="88">
        <f t="shared" si="5"/>
        <v>1000</v>
      </c>
      <c r="S24" s="97"/>
      <c r="T24" s="98">
        <v>24</v>
      </c>
      <c r="U24" s="94">
        <f t="shared" si="3"/>
        <v>0</v>
      </c>
      <c r="V24" s="99">
        <f t="shared" si="4"/>
        <v>0</v>
      </c>
    </row>
    <row r="25" ht="14.25" spans="11:22">
      <c r="K25" s="91" t="s">
        <v>759</v>
      </c>
      <c r="L25" s="88" t="s">
        <v>760</v>
      </c>
      <c r="M25" s="88" t="s">
        <v>761</v>
      </c>
      <c r="N25" s="88">
        <v>12</v>
      </c>
      <c r="O25" s="88">
        <v>2800</v>
      </c>
      <c r="P25" s="89">
        <v>1</v>
      </c>
      <c r="Q25" s="89">
        <v>0.5</v>
      </c>
      <c r="R25" s="88">
        <f t="shared" si="5"/>
        <v>1400</v>
      </c>
      <c r="S25" s="97"/>
      <c r="T25" s="98">
        <v>24</v>
      </c>
      <c r="U25" s="94">
        <f t="shared" si="3"/>
        <v>655.2</v>
      </c>
      <c r="V25" s="99">
        <f t="shared" si="4"/>
        <v>23587.2</v>
      </c>
    </row>
    <row r="26" ht="14.25" spans="11:22">
      <c r="K26" s="91" t="s">
        <v>762</v>
      </c>
      <c r="L26" s="88" t="s">
        <v>763</v>
      </c>
      <c r="M26" s="88" t="s">
        <v>764</v>
      </c>
      <c r="N26" s="88">
        <v>16</v>
      </c>
      <c r="O26" s="88">
        <v>3600</v>
      </c>
      <c r="P26" s="89">
        <v>1</v>
      </c>
      <c r="Q26" s="89">
        <v>0.5</v>
      </c>
      <c r="R26" s="88">
        <f t="shared" si="5"/>
        <v>1800</v>
      </c>
      <c r="S26" s="97"/>
      <c r="T26" s="98">
        <v>24</v>
      </c>
      <c r="U26" s="94">
        <f t="shared" si="3"/>
        <v>842.4</v>
      </c>
      <c r="V26" s="99">
        <f t="shared" si="4"/>
        <v>30326.4</v>
      </c>
    </row>
    <row r="27" ht="14.25" spans="11:22">
      <c r="K27" s="91" t="s">
        <v>765</v>
      </c>
      <c r="L27" s="88" t="s">
        <v>766</v>
      </c>
      <c r="M27" s="88" t="s">
        <v>767</v>
      </c>
      <c r="N27" s="88">
        <v>1</v>
      </c>
      <c r="O27" s="88">
        <v>350</v>
      </c>
      <c r="P27" s="89"/>
      <c r="Q27" s="89">
        <v>0.5</v>
      </c>
      <c r="R27" s="88">
        <f t="shared" si="5"/>
        <v>175</v>
      </c>
      <c r="S27" s="97"/>
      <c r="T27" s="98"/>
      <c r="U27" s="94"/>
      <c r="V27" s="99"/>
    </row>
    <row r="28" ht="14.25" spans="11:22">
      <c r="K28" s="91" t="s">
        <v>768</v>
      </c>
      <c r="L28" s="88" t="s">
        <v>748</v>
      </c>
      <c r="M28" s="88" t="s">
        <v>749</v>
      </c>
      <c r="N28" s="88">
        <v>2</v>
      </c>
      <c r="O28" s="88">
        <v>650</v>
      </c>
      <c r="P28" s="89"/>
      <c r="Q28" s="89">
        <v>0.5</v>
      </c>
      <c r="R28" s="88">
        <f t="shared" ref="R28:R34" si="6">O28*Q28</f>
        <v>325</v>
      </c>
      <c r="S28" s="97"/>
      <c r="T28" s="98">
        <v>24</v>
      </c>
      <c r="U28" s="94">
        <f t="shared" ref="U28" si="7">(P28/1000*T28*30*0.65)*O28*Q28</f>
        <v>0</v>
      </c>
      <c r="V28" s="99">
        <f>U28*36</f>
        <v>0</v>
      </c>
    </row>
    <row r="29" ht="14.25" spans="11:22">
      <c r="K29" s="91" t="s">
        <v>769</v>
      </c>
      <c r="L29" s="88" t="s">
        <v>770</v>
      </c>
      <c r="M29" s="88" t="s">
        <v>771</v>
      </c>
      <c r="N29" s="88">
        <v>3</v>
      </c>
      <c r="O29" s="88">
        <v>950</v>
      </c>
      <c r="P29" s="89"/>
      <c r="Q29" s="89">
        <v>0.5</v>
      </c>
      <c r="R29" s="88">
        <f t="shared" si="6"/>
        <v>475</v>
      </c>
      <c r="S29" s="97"/>
      <c r="T29" s="98"/>
      <c r="U29" s="94"/>
      <c r="V29" s="99"/>
    </row>
    <row r="30" ht="14.25" spans="11:22">
      <c r="K30" s="91" t="s">
        <v>772</v>
      </c>
      <c r="L30" s="88" t="s">
        <v>751</v>
      </c>
      <c r="M30" s="88" t="s">
        <v>752</v>
      </c>
      <c r="N30" s="88">
        <v>4</v>
      </c>
      <c r="O30" s="88">
        <v>1200</v>
      </c>
      <c r="P30" s="89"/>
      <c r="Q30" s="89">
        <v>0.5</v>
      </c>
      <c r="R30" s="88">
        <f t="shared" si="6"/>
        <v>600</v>
      </c>
      <c r="S30" s="97"/>
      <c r="T30" s="98">
        <v>24</v>
      </c>
      <c r="U30" s="94">
        <f>(P30/1000*T30*30*0.65)*O30*Q30</f>
        <v>0</v>
      </c>
      <c r="V30" s="99">
        <f>U30*36</f>
        <v>0</v>
      </c>
    </row>
    <row r="31" ht="14.25" spans="11:22">
      <c r="K31" s="91" t="s">
        <v>773</v>
      </c>
      <c r="L31" s="88" t="s">
        <v>754</v>
      </c>
      <c r="M31" s="88" t="s">
        <v>755</v>
      </c>
      <c r="N31" s="88">
        <v>6</v>
      </c>
      <c r="O31" s="88">
        <v>1600</v>
      </c>
      <c r="P31" s="89"/>
      <c r="Q31" s="89">
        <v>0.5</v>
      </c>
      <c r="R31" s="88">
        <f t="shared" si="6"/>
        <v>800</v>
      </c>
      <c r="S31" s="97"/>
      <c r="T31" s="98">
        <v>24</v>
      </c>
      <c r="U31" s="94">
        <f>(P31/1000*T31*30*0.65)*O31*Q31</f>
        <v>0</v>
      </c>
      <c r="V31" s="99">
        <f>U31*36</f>
        <v>0</v>
      </c>
    </row>
    <row r="32" ht="14.25" spans="11:22">
      <c r="K32" s="91" t="s">
        <v>774</v>
      </c>
      <c r="L32" s="88" t="s">
        <v>757</v>
      </c>
      <c r="M32" s="88" t="s">
        <v>758</v>
      </c>
      <c r="N32" s="88">
        <v>8</v>
      </c>
      <c r="O32" s="88">
        <v>2000</v>
      </c>
      <c r="P32" s="89"/>
      <c r="Q32" s="89">
        <v>0.5</v>
      </c>
      <c r="R32" s="88">
        <f t="shared" si="6"/>
        <v>1000</v>
      </c>
      <c r="S32" s="97"/>
      <c r="T32" s="98">
        <v>24</v>
      </c>
      <c r="U32" s="94">
        <f>(P32/1000*T32*30*0.65)*O32*Q32</f>
        <v>0</v>
      </c>
      <c r="V32" s="99">
        <f>U32*36</f>
        <v>0</v>
      </c>
    </row>
    <row r="33" ht="14.25" spans="11:22">
      <c r="K33" s="92" t="s">
        <v>775</v>
      </c>
      <c r="L33" s="88" t="s">
        <v>776</v>
      </c>
      <c r="M33" s="93"/>
      <c r="N33" s="93"/>
      <c r="O33" s="88">
        <v>800</v>
      </c>
      <c r="P33" s="93"/>
      <c r="Q33" s="89">
        <v>0.5</v>
      </c>
      <c r="R33" s="88">
        <f t="shared" si="6"/>
        <v>400</v>
      </c>
      <c r="T33" s="98">
        <v>24</v>
      </c>
      <c r="U33" s="94">
        <f>(P33/1000*T33*30*0.65)*O33*Q33</f>
        <v>0</v>
      </c>
      <c r="V33" s="99">
        <f>U33*36</f>
        <v>0</v>
      </c>
    </row>
    <row r="34" ht="14.25" spans="11:22">
      <c r="K34" s="92" t="s">
        <v>777</v>
      </c>
      <c r="L34" s="88" t="s">
        <v>778</v>
      </c>
      <c r="M34" s="93"/>
      <c r="N34" s="93"/>
      <c r="O34" s="88">
        <v>3000</v>
      </c>
      <c r="P34" s="93"/>
      <c r="Q34" s="89">
        <v>0.5</v>
      </c>
      <c r="R34" s="88">
        <f t="shared" si="6"/>
        <v>1500</v>
      </c>
      <c r="T34" s="98">
        <v>24</v>
      </c>
      <c r="U34" s="94">
        <f>(P34/1000*T34*30*0.65)*O34*Q34</f>
        <v>0</v>
      </c>
      <c r="V34" s="99">
        <f>U34*36</f>
        <v>0</v>
      </c>
    </row>
    <row r="35" spans="22:22">
      <c r="V35" s="99">
        <f>SUM(V21:V34)</f>
        <v>812073.6</v>
      </c>
    </row>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B22" sqref="B22"/>
    </sheetView>
  </sheetViews>
  <sheetFormatPr defaultColWidth="8.88333333333333" defaultRowHeight="13.5"/>
  <cols>
    <col min="2" max="2" width="9.63333333333333" customWidth="1"/>
    <col min="3" max="4" width="13.6333333333333" customWidth="1"/>
    <col min="5" max="7" width="13.6333333333333" hidden="1" customWidth="1"/>
    <col min="8" max="8" width="20.2583333333333" customWidth="1"/>
    <col min="9" max="9" width="38.7583333333333" customWidth="1"/>
  </cols>
  <sheetData>
    <row r="1" ht="45.95" customHeight="1" spans="1:9">
      <c r="A1" s="71" t="s">
        <v>430</v>
      </c>
      <c r="B1" s="72" t="s">
        <v>779</v>
      </c>
      <c r="C1" s="72" t="s">
        <v>780</v>
      </c>
      <c r="D1" s="72" t="s">
        <v>781</v>
      </c>
      <c r="E1" s="73" t="s">
        <v>782</v>
      </c>
      <c r="F1" s="73" t="s">
        <v>783</v>
      </c>
      <c r="G1" s="73" t="s">
        <v>784</v>
      </c>
      <c r="H1" s="72" t="s">
        <v>785</v>
      </c>
      <c r="I1" s="72" t="s">
        <v>9</v>
      </c>
    </row>
    <row r="2" ht="18.95" customHeight="1" spans="1:9">
      <c r="A2" s="45">
        <v>1</v>
      </c>
      <c r="B2" s="74" t="s">
        <v>786</v>
      </c>
      <c r="C2" s="74">
        <v>15</v>
      </c>
      <c r="D2" s="74">
        <v>30</v>
      </c>
      <c r="E2" s="75">
        <v>0</v>
      </c>
      <c r="F2" s="75">
        <v>0</v>
      </c>
      <c r="G2" s="75">
        <v>400</v>
      </c>
      <c r="H2" s="74"/>
      <c r="I2" s="74" t="s">
        <v>787</v>
      </c>
    </row>
    <row r="3" ht="18.95" customHeight="1" spans="1:9">
      <c r="A3" s="45">
        <v>2</v>
      </c>
      <c r="B3" s="74" t="s">
        <v>788</v>
      </c>
      <c r="C3" s="76">
        <v>173</v>
      </c>
      <c r="D3" s="76">
        <v>1190</v>
      </c>
      <c r="E3" s="77">
        <v>1</v>
      </c>
      <c r="F3" s="77">
        <v>8</v>
      </c>
      <c r="G3" s="77">
        <v>44420</v>
      </c>
      <c r="H3" s="74" t="s">
        <v>789</v>
      </c>
      <c r="I3" s="74" t="s">
        <v>790</v>
      </c>
    </row>
    <row r="4" ht="18.95" customHeight="1" spans="1:9">
      <c r="A4" s="45">
        <v>3</v>
      </c>
      <c r="B4" s="74" t="s">
        <v>791</v>
      </c>
      <c r="C4" s="78">
        <v>77</v>
      </c>
      <c r="D4" s="78">
        <v>487</v>
      </c>
      <c r="E4" s="77">
        <v>2</v>
      </c>
      <c r="F4" s="77">
        <v>4</v>
      </c>
      <c r="G4" s="77">
        <v>12426</v>
      </c>
      <c r="H4" s="74" t="s">
        <v>789</v>
      </c>
      <c r="I4" s="74"/>
    </row>
    <row r="5" ht="18.95" customHeight="1" spans="1:9">
      <c r="A5" s="45">
        <v>4</v>
      </c>
      <c r="B5" s="74" t="s">
        <v>792</v>
      </c>
      <c r="C5" s="76">
        <v>160</v>
      </c>
      <c r="D5" s="76">
        <v>1020</v>
      </c>
      <c r="E5" s="77">
        <v>4</v>
      </c>
      <c r="F5" s="77">
        <v>10</v>
      </c>
      <c r="G5" s="77">
        <v>31418</v>
      </c>
      <c r="H5" s="74" t="s">
        <v>789</v>
      </c>
      <c r="I5" s="74"/>
    </row>
    <row r="6" ht="18.95" customHeight="1" spans="1:9">
      <c r="A6" s="79">
        <v>5</v>
      </c>
      <c r="B6" s="80" t="s">
        <v>793</v>
      </c>
      <c r="C6" s="81">
        <v>29</v>
      </c>
      <c r="D6" s="81">
        <v>60</v>
      </c>
      <c r="E6" s="82">
        <v>1</v>
      </c>
      <c r="F6" s="82">
        <v>2</v>
      </c>
      <c r="G6" s="82">
        <v>1200</v>
      </c>
      <c r="H6" s="80"/>
      <c r="I6" s="80"/>
    </row>
    <row r="7" ht="18.95" customHeight="1" spans="1:9">
      <c r="A7" s="45">
        <v>6</v>
      </c>
      <c r="B7" s="74" t="s">
        <v>794</v>
      </c>
      <c r="C7" s="76">
        <v>113</v>
      </c>
      <c r="D7" s="76">
        <v>680</v>
      </c>
      <c r="E7" s="75">
        <v>2</v>
      </c>
      <c r="F7" s="75">
        <v>4</v>
      </c>
      <c r="G7" s="75">
        <v>8500</v>
      </c>
      <c r="H7" s="74"/>
      <c r="I7" s="74" t="s">
        <v>795</v>
      </c>
    </row>
    <row r="8" ht="18.95" customHeight="1" spans="1:9">
      <c r="A8" s="45">
        <v>7</v>
      </c>
      <c r="B8" s="74" t="s">
        <v>796</v>
      </c>
      <c r="C8" s="74">
        <v>50</v>
      </c>
      <c r="D8" s="74">
        <v>112</v>
      </c>
      <c r="E8" s="75"/>
      <c r="F8" s="75">
        <v>0</v>
      </c>
      <c r="G8" s="75">
        <v>0</v>
      </c>
      <c r="H8" s="74"/>
      <c r="I8" s="74" t="s">
        <v>797</v>
      </c>
    </row>
    <row r="9" ht="18.95" customHeight="1" spans="1:9">
      <c r="A9" s="45">
        <v>8</v>
      </c>
      <c r="B9" s="74" t="s">
        <v>798</v>
      </c>
      <c r="C9" s="78">
        <v>130</v>
      </c>
      <c r="D9" s="78">
        <v>313</v>
      </c>
      <c r="E9" s="77">
        <v>9</v>
      </c>
      <c r="F9" s="77">
        <v>18</v>
      </c>
      <c r="G9" s="77">
        <v>4343</v>
      </c>
      <c r="H9" s="74" t="s">
        <v>789</v>
      </c>
      <c r="I9" s="83"/>
    </row>
    <row r="10" ht="18.95" customHeight="1" spans="1:9">
      <c r="A10" s="45">
        <v>9</v>
      </c>
      <c r="B10" s="74" t="s">
        <v>799</v>
      </c>
      <c r="C10" s="78">
        <v>145</v>
      </c>
      <c r="D10" s="78">
        <v>552</v>
      </c>
      <c r="E10" s="77">
        <v>7</v>
      </c>
      <c r="F10" s="77">
        <v>14</v>
      </c>
      <c r="G10" s="77">
        <v>7378</v>
      </c>
      <c r="H10" s="74" t="s">
        <v>789</v>
      </c>
      <c r="I10" s="83"/>
    </row>
    <row r="11" ht="18.95" customHeight="1" spans="1:9">
      <c r="A11" s="45">
        <v>10</v>
      </c>
      <c r="B11" s="74" t="s">
        <v>800</v>
      </c>
      <c r="C11" s="78">
        <v>51</v>
      </c>
      <c r="D11" s="78">
        <v>134</v>
      </c>
      <c r="E11" s="77">
        <v>4</v>
      </c>
      <c r="F11" s="77">
        <v>8</v>
      </c>
      <c r="G11" s="77">
        <v>2677</v>
      </c>
      <c r="H11" s="74" t="s">
        <v>801</v>
      </c>
      <c r="I11" s="83"/>
    </row>
    <row r="12" ht="18.95" customHeight="1" spans="1:9">
      <c r="A12" s="45">
        <v>11</v>
      </c>
      <c r="B12" s="74" t="s">
        <v>802</v>
      </c>
      <c r="C12" s="78">
        <v>37</v>
      </c>
      <c r="D12" s="78">
        <v>91</v>
      </c>
      <c r="E12" s="77">
        <v>4</v>
      </c>
      <c r="F12" s="77">
        <v>8</v>
      </c>
      <c r="G12" s="77">
        <v>2056</v>
      </c>
      <c r="H12" s="74" t="s">
        <v>803</v>
      </c>
      <c r="I12" s="83"/>
    </row>
    <row r="13" ht="18.95" customHeight="1" spans="1:9">
      <c r="A13" s="45">
        <v>12</v>
      </c>
      <c r="B13" s="74" t="s">
        <v>804</v>
      </c>
      <c r="C13" s="78">
        <v>37</v>
      </c>
      <c r="D13" s="78">
        <v>84</v>
      </c>
      <c r="E13" s="77">
        <v>10</v>
      </c>
      <c r="F13" s="77">
        <v>20</v>
      </c>
      <c r="G13" s="77">
        <v>1542</v>
      </c>
      <c r="H13" s="74"/>
      <c r="I13" s="83"/>
    </row>
    <row r="14" ht="18.95" customHeight="1" spans="1:9">
      <c r="A14" s="45">
        <v>13</v>
      </c>
      <c r="B14" s="74" t="s">
        <v>805</v>
      </c>
      <c r="C14" s="78">
        <v>46</v>
      </c>
      <c r="D14" s="78">
        <v>151</v>
      </c>
      <c r="E14" s="77">
        <v>3</v>
      </c>
      <c r="F14" s="77">
        <v>5</v>
      </c>
      <c r="G14" s="77">
        <v>1565</v>
      </c>
      <c r="H14" s="74" t="s">
        <v>803</v>
      </c>
      <c r="I14" s="83"/>
    </row>
    <row r="15" ht="18.95" customHeight="1" spans="1:9">
      <c r="A15" s="45">
        <v>14</v>
      </c>
      <c r="B15" s="74" t="s">
        <v>806</v>
      </c>
      <c r="C15" s="78">
        <v>77</v>
      </c>
      <c r="D15" s="78">
        <v>178</v>
      </c>
      <c r="E15" s="77">
        <v>2</v>
      </c>
      <c r="F15" s="77">
        <v>4</v>
      </c>
      <c r="G15" s="77">
        <v>3010</v>
      </c>
      <c r="H15" s="74" t="s">
        <v>789</v>
      </c>
      <c r="I15" s="83"/>
    </row>
    <row r="16" ht="18.95" customHeight="1" spans="1:9">
      <c r="A16" s="45">
        <v>15</v>
      </c>
      <c r="B16" s="74" t="s">
        <v>807</v>
      </c>
      <c r="C16" s="78">
        <v>109</v>
      </c>
      <c r="D16" s="78">
        <v>232</v>
      </c>
      <c r="E16" s="77">
        <v>11</v>
      </c>
      <c r="F16" s="77">
        <v>22</v>
      </c>
      <c r="G16" s="77">
        <v>2328</v>
      </c>
      <c r="H16" s="74" t="s">
        <v>789</v>
      </c>
      <c r="I16" s="83"/>
    </row>
    <row r="17" ht="18.95" customHeight="1" spans="1:9">
      <c r="A17" s="45">
        <v>16</v>
      </c>
      <c r="B17" s="74" t="s">
        <v>808</v>
      </c>
      <c r="C17" s="78">
        <v>237</v>
      </c>
      <c r="D17" s="78">
        <v>520</v>
      </c>
      <c r="E17" s="77">
        <v>7</v>
      </c>
      <c r="F17" s="77">
        <v>14</v>
      </c>
      <c r="G17" s="77">
        <v>3242</v>
      </c>
      <c r="H17" s="74" t="s">
        <v>789</v>
      </c>
      <c r="I17" s="83"/>
    </row>
    <row r="18" ht="18.95" customHeight="1" spans="1:9">
      <c r="A18" s="45">
        <v>17</v>
      </c>
      <c r="B18" s="74" t="s">
        <v>809</v>
      </c>
      <c r="C18" s="78">
        <v>76</v>
      </c>
      <c r="D18" s="78">
        <v>171</v>
      </c>
      <c r="E18" s="77">
        <v>1</v>
      </c>
      <c r="F18" s="77">
        <v>2</v>
      </c>
      <c r="G18" s="77">
        <v>2976</v>
      </c>
      <c r="H18" s="74"/>
      <c r="I18" s="83"/>
    </row>
    <row r="19" ht="18.95" customHeight="1" spans="1:9">
      <c r="A19" s="45">
        <v>18</v>
      </c>
      <c r="B19" s="74" t="s">
        <v>810</v>
      </c>
      <c r="C19" s="78">
        <v>75</v>
      </c>
      <c r="D19" s="78">
        <v>162</v>
      </c>
      <c r="E19" s="77">
        <v>3</v>
      </c>
      <c r="F19" s="77">
        <v>6</v>
      </c>
      <c r="G19" s="77">
        <v>1700</v>
      </c>
      <c r="H19" s="74"/>
      <c r="I19" s="83"/>
    </row>
    <row r="20" ht="18.95" customHeight="1" spans="1:9">
      <c r="A20" s="45">
        <v>19</v>
      </c>
      <c r="B20" s="74" t="s">
        <v>811</v>
      </c>
      <c r="C20" s="78">
        <v>147</v>
      </c>
      <c r="D20" s="78">
        <v>342</v>
      </c>
      <c r="E20" s="77">
        <v>11</v>
      </c>
      <c r="F20" s="77">
        <v>22</v>
      </c>
      <c r="G20" s="77">
        <v>3044</v>
      </c>
      <c r="H20" s="74" t="s">
        <v>789</v>
      </c>
      <c r="I20" s="83"/>
    </row>
    <row r="21" ht="18.95" customHeight="1" spans="1:9">
      <c r="A21" s="45">
        <v>20</v>
      </c>
      <c r="B21" s="74" t="s">
        <v>812</v>
      </c>
      <c r="C21" s="78">
        <v>68</v>
      </c>
      <c r="D21" s="78">
        <v>161</v>
      </c>
      <c r="E21" s="77">
        <v>3</v>
      </c>
      <c r="F21" s="77">
        <v>6</v>
      </c>
      <c r="G21" s="77">
        <v>1982</v>
      </c>
      <c r="H21" s="74"/>
      <c r="I21" s="83"/>
    </row>
    <row r="22" ht="18.95" customHeight="1" spans="1:9">
      <c r="A22" s="45">
        <v>21</v>
      </c>
      <c r="B22" s="74" t="s">
        <v>813</v>
      </c>
      <c r="C22" s="78">
        <v>34</v>
      </c>
      <c r="D22" s="78">
        <v>84</v>
      </c>
      <c r="E22" s="77">
        <v>1</v>
      </c>
      <c r="F22" s="77">
        <v>2</v>
      </c>
      <c r="G22" s="77">
        <v>1869</v>
      </c>
      <c r="H22" s="74" t="s">
        <v>789</v>
      </c>
      <c r="I22" s="83"/>
    </row>
    <row r="23" ht="18.95" customHeight="1" spans="1:9">
      <c r="A23" s="45"/>
      <c r="B23" s="74" t="s">
        <v>609</v>
      </c>
      <c r="C23" s="74">
        <f>SUM(C2:C22)</f>
        <v>1886</v>
      </c>
      <c r="D23" s="74">
        <f>SUM(D2:D22)</f>
        <v>6754</v>
      </c>
      <c r="E23" s="74">
        <f>SUM(E2:E22)</f>
        <v>86</v>
      </c>
      <c r="F23" s="74">
        <f>SUM(F2:F22)</f>
        <v>179</v>
      </c>
      <c r="G23" s="74">
        <f>SUM(G2:G22)</f>
        <v>138076</v>
      </c>
      <c r="H23" s="74"/>
      <c r="I23" s="83"/>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估算清单</vt:lpstr>
      <vt:lpstr>项目设备采购清单及分项报价表</vt:lpstr>
      <vt:lpstr>高山、高建筑站点</vt:lpstr>
      <vt:lpstr>350兆800兆基站正负表</vt:lpstr>
      <vt:lpstr>基站UPS核算</vt:lpstr>
      <vt:lpstr>800兆现状</vt:lpstr>
      <vt:lpstr>Sheet1</vt:lpstr>
      <vt:lpstr>爱尔兰及电费计算</vt:lpstr>
      <vt:lpstr>全省PDT建设情况</vt:lpstr>
      <vt:lpstr>基站工程量</vt:lpstr>
      <vt:lpstr>绩效</vt:lpstr>
      <vt:lpstr>测试</vt:lpstr>
      <vt:lpstr>名词解释</vt:lpstr>
      <vt:lpstr>风险点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智林招标项目组</cp:lastModifiedBy>
  <dcterms:created xsi:type="dcterms:W3CDTF">2025-03-19T03:53:00Z</dcterms:created>
  <dcterms:modified xsi:type="dcterms:W3CDTF">2025-07-08T07:49:02Z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AB3C594649744DA391F618C9FC2AD0FB_13</vt:lpwstr>
  </property>
  <property fmtid="{D5CDD505-2E9C-101B-9397-08002B2CF9AE}" pid="3" name="KSOProductBuildVer">
    <vt:lpwstr>2052-12.1.0.21915</vt:lpwstr>
  </property>
</Properties>
</file>